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485" windowWidth="14805" windowHeight="3645"/>
  </bookViews>
  <sheets>
    <sheet name="ФСГС" sheetId="8" r:id="rId1"/>
  </sheets>
  <definedNames>
    <definedName name="_xlnm.Print_Titles" localSheetId="0">ФСГС!$14:$14</definedName>
    <definedName name="_xlnm.Print_Area" localSheetId="0">ФСГС!$A$1:$AB$616</definedName>
  </definedNames>
  <calcPr calcId="152511"/>
</workbook>
</file>

<file path=xl/calcChain.xml><?xml version="1.0" encoding="utf-8"?>
<calcChain xmlns="http://schemas.openxmlformats.org/spreadsheetml/2006/main">
  <c r="Z24" i="8" l="1"/>
  <c r="Y24" i="8"/>
  <c r="X24" i="8"/>
  <c r="X61" i="8"/>
  <c r="X94" i="8"/>
  <c r="X140" i="8"/>
  <c r="X337" i="8"/>
  <c r="X213" i="8" l="1"/>
  <c r="X43" i="8"/>
  <c r="X45" i="8"/>
  <c r="X158" i="8"/>
  <c r="X156" i="8"/>
  <c r="X154" i="8"/>
  <c r="X117" i="8"/>
  <c r="X104" i="8"/>
  <c r="X86" i="8"/>
  <c r="X80" i="8"/>
  <c r="X68" i="8"/>
  <c r="X59" i="8"/>
  <c r="X57" i="8"/>
  <c r="Z25" i="8" l="1"/>
  <c r="Y25" i="8"/>
  <c r="X25" i="8"/>
  <c r="Z26" i="8"/>
  <c r="X30" i="8"/>
  <c r="X31" i="8"/>
  <c r="X123" i="8" l="1"/>
  <c r="X90" i="8"/>
  <c r="X75" i="8"/>
  <c r="X125" i="8"/>
  <c r="X169" i="8" l="1"/>
  <c r="X192" i="8"/>
  <c r="X238" i="8"/>
  <c r="X167" i="8" s="1"/>
  <c r="AA56" i="8"/>
  <c r="AA424" i="8"/>
  <c r="X424" i="8"/>
  <c r="X239" i="8"/>
  <c r="Y239" i="8"/>
  <c r="Z239" i="8"/>
  <c r="X195" i="8" l="1"/>
  <c r="AA223" i="8"/>
  <c r="AA207" i="8"/>
  <c r="AA215" i="8"/>
  <c r="AA199" i="8"/>
  <c r="W207" i="8"/>
  <c r="Y207" i="8"/>
  <c r="Z207" i="8"/>
  <c r="X98" i="8" l="1"/>
  <c r="U33" i="8" l="1"/>
  <c r="U28" i="8" s="1"/>
  <c r="V33" i="8"/>
  <c r="V28" i="8" s="1"/>
  <c r="W33" i="8"/>
  <c r="W28" i="8" s="1"/>
  <c r="X33" i="8"/>
  <c r="X28" i="8" s="1"/>
  <c r="Y33" i="8"/>
  <c r="Y28" i="8" s="1"/>
  <c r="Z33" i="8"/>
  <c r="Z28" i="8" s="1"/>
  <c r="T33" i="8"/>
  <c r="T28" i="8" s="1"/>
  <c r="X526" i="8" l="1"/>
  <c r="W542" i="8" l="1"/>
  <c r="W86" i="8"/>
  <c r="W104" i="8" l="1"/>
  <c r="W235" i="8" l="1"/>
  <c r="W551" i="8" l="1"/>
  <c r="W545" i="8"/>
  <c r="W160" i="8"/>
  <c r="W156" i="8"/>
  <c r="W117" i="8"/>
  <c r="W115" i="8"/>
  <c r="W111" i="8"/>
  <c r="W98" i="8"/>
  <c r="W90" i="8"/>
  <c r="W43" i="8"/>
  <c r="W146" i="8"/>
  <c r="W171" i="8" l="1"/>
  <c r="W172" i="8"/>
  <c r="X153" i="8" l="1"/>
  <c r="Y153" i="8"/>
  <c r="Z153" i="8"/>
  <c r="AA612" i="8" l="1"/>
  <c r="W24" i="8" l="1"/>
  <c r="W149" i="8"/>
  <c r="W170" i="8" l="1"/>
  <c r="V170" i="8"/>
  <c r="W137" i="8" l="1"/>
  <c r="W64" i="8"/>
  <c r="W74" i="8"/>
  <c r="W75" i="8"/>
  <c r="W59" i="8"/>
  <c r="W548" i="8"/>
  <c r="W158" i="8"/>
  <c r="Z104" i="8"/>
  <c r="Y104" i="8"/>
  <c r="W113" i="8"/>
  <c r="W94" i="8"/>
  <c r="W80" i="8"/>
  <c r="W200" i="8"/>
  <c r="W245" i="8" l="1"/>
  <c r="W154" i="8"/>
  <c r="W68" i="8"/>
  <c r="W57" i="8"/>
  <c r="X149" i="8" l="1"/>
  <c r="Z559" i="8" l="1"/>
  <c r="Z560" i="8"/>
  <c r="Z561" i="8"/>
  <c r="Z564" i="8"/>
  <c r="Z567" i="8"/>
  <c r="Z570" i="8"/>
  <c r="X506" i="8"/>
  <c r="Z558" i="8" l="1"/>
  <c r="X505" i="8" l="1"/>
  <c r="AA127" i="8"/>
  <c r="AA128" i="8"/>
  <c r="AA126" i="8"/>
  <c r="AA124" i="8"/>
  <c r="X121" i="8"/>
  <c r="Y121" i="8"/>
  <c r="Z121" i="8"/>
  <c r="X122" i="8"/>
  <c r="Y122" i="8"/>
  <c r="Z122" i="8"/>
  <c r="W122" i="8"/>
  <c r="W121" i="8"/>
  <c r="X120" i="8"/>
  <c r="Y120" i="8"/>
  <c r="Z120" i="8"/>
  <c r="W129" i="8"/>
  <c r="W120" i="8" s="1"/>
  <c r="AA136" i="8"/>
  <c r="AA135" i="8"/>
  <c r="AA134" i="8"/>
  <c r="AA133" i="8"/>
  <c r="AA132" i="8"/>
  <c r="V129" i="8"/>
  <c r="U129" i="8"/>
  <c r="T129" i="8"/>
  <c r="AA122" i="8" l="1"/>
  <c r="Z27" i="8"/>
  <c r="AA27" i="8" s="1"/>
  <c r="AA129" i="8"/>
  <c r="AA123" i="8"/>
  <c r="AA125" i="8"/>
  <c r="X142" i="8"/>
  <c r="AA507" i="8" l="1"/>
  <c r="AA508" i="8"/>
  <c r="V506" i="8"/>
  <c r="U506" i="8"/>
  <c r="W505" i="8"/>
  <c r="W504" i="8" s="1"/>
  <c r="V505" i="8"/>
  <c r="U505" i="8"/>
  <c r="Z504" i="8"/>
  <c r="Y504" i="8"/>
  <c r="X504" i="8"/>
  <c r="V504" i="8"/>
  <c r="U504" i="8"/>
  <c r="AA506" i="8" l="1"/>
  <c r="AA504" i="8"/>
  <c r="AA505" i="8"/>
  <c r="AA607" i="8" l="1"/>
  <c r="AA608" i="8"/>
  <c r="U606" i="8"/>
  <c r="V606" i="8"/>
  <c r="W606" i="8"/>
  <c r="X606" i="8"/>
  <c r="Y606" i="8"/>
  <c r="Z606" i="8"/>
  <c r="T606" i="8"/>
  <c r="AA606" i="8" l="1"/>
  <c r="W45" i="8"/>
  <c r="W30" i="8" s="1"/>
  <c r="W73" i="8" l="1"/>
  <c r="W144" i="8" l="1"/>
  <c r="W102" i="8"/>
  <c r="W600" i="8"/>
  <c r="W337" i="8"/>
  <c r="AA534" i="8" l="1"/>
  <c r="W61" i="8" l="1"/>
  <c r="W195" i="8" l="1"/>
  <c r="AA532" i="8" l="1"/>
  <c r="AA530" i="8"/>
  <c r="AA165" i="8"/>
  <c r="AA163" i="8"/>
  <c r="AA427" i="8" l="1"/>
  <c r="AA430" i="8"/>
  <c r="AA431" i="8"/>
  <c r="AA432" i="8"/>
  <c r="W424" i="8"/>
  <c r="AA331" i="8"/>
  <c r="AA333" i="8"/>
  <c r="AA337" i="8"/>
  <c r="AA338" i="8"/>
  <c r="AA339" i="8"/>
  <c r="AA340" i="8"/>
  <c r="X329" i="8"/>
  <c r="Y329" i="8"/>
  <c r="Z329" i="8"/>
  <c r="W329" i="8"/>
  <c r="AA288" i="8"/>
  <c r="AA290" i="8"/>
  <c r="AA293" i="8"/>
  <c r="AA294" i="8"/>
  <c r="AA295" i="8"/>
  <c r="X286" i="8"/>
  <c r="Y286" i="8"/>
  <c r="Z286" i="8"/>
  <c r="W286" i="8"/>
  <c r="AA248" i="8"/>
  <c r="AA249" i="8"/>
  <c r="AA250" i="8"/>
  <c r="AA247" i="8"/>
  <c r="AA241" i="8"/>
  <c r="AA245" i="8"/>
  <c r="AA246" i="8"/>
  <c r="W239" i="8"/>
  <c r="X236" i="8" l="1"/>
  <c r="W526" i="8"/>
  <c r="W25" i="8" l="1"/>
  <c r="V244" i="8" l="1"/>
  <c r="U244" i="8"/>
  <c r="V243" i="8"/>
  <c r="U243" i="8"/>
  <c r="AA244" i="8" l="1"/>
  <c r="AA243" i="8"/>
  <c r="AA46" i="8"/>
  <c r="AA44" i="8"/>
  <c r="AA45" i="8"/>
  <c r="V145" i="8" l="1"/>
  <c r="U145" i="8"/>
  <c r="V43" i="8"/>
  <c r="U43" i="8"/>
  <c r="U560" i="8" l="1"/>
  <c r="V429" i="8" l="1"/>
  <c r="V224" i="8"/>
  <c r="V208" i="8"/>
  <c r="V137" i="8"/>
  <c r="V102" i="8"/>
  <c r="V98" i="8"/>
  <c r="V90" i="8"/>
  <c r="V94" i="8"/>
  <c r="V57" i="8"/>
  <c r="V64" i="8"/>
  <c r="V117" i="8"/>
  <c r="V142" i="8" l="1"/>
  <c r="AA147" i="8"/>
  <c r="W27" i="8" l="1"/>
  <c r="V24" i="8"/>
  <c r="V149" i="8" l="1"/>
  <c r="U522" i="8" l="1"/>
  <c r="V522" i="8"/>
  <c r="U523" i="8"/>
  <c r="V523" i="8"/>
  <c r="W142" i="8"/>
  <c r="Y64" i="8" l="1"/>
  <c r="Z64" i="8"/>
  <c r="V115" i="8" l="1"/>
  <c r="V109" i="8" l="1"/>
  <c r="V172" i="8"/>
  <c r="X235" i="8"/>
  <c r="Y235" i="8"/>
  <c r="Z235" i="8"/>
  <c r="V235" i="8"/>
  <c r="U541" i="8"/>
  <c r="V541" i="8"/>
  <c r="W541" i="8"/>
  <c r="W538" i="8" s="1"/>
  <c r="X541" i="8"/>
  <c r="X538" i="8" s="1"/>
  <c r="Y541" i="8"/>
  <c r="Y538" i="8" s="1"/>
  <c r="Z541" i="8"/>
  <c r="Z538" i="8" s="1"/>
  <c r="T541" i="8"/>
  <c r="AA553" i="8"/>
  <c r="AA550" i="8"/>
  <c r="AA547" i="8"/>
  <c r="AA544" i="8"/>
  <c r="Z598" i="8"/>
  <c r="Z596" i="8" s="1"/>
  <c r="W598" i="8"/>
  <c r="X598" i="8"/>
  <c r="X596" i="8" s="1"/>
  <c r="Y598" i="8"/>
  <c r="V598" i="8"/>
  <c r="AA528" i="8"/>
  <c r="AA527" i="8"/>
  <c r="V526" i="8"/>
  <c r="U526" i="8"/>
  <c r="T526" i="8"/>
  <c r="V521" i="8"/>
  <c r="U521" i="8"/>
  <c r="X518" i="8"/>
  <c r="Y518" i="8"/>
  <c r="X512" i="8"/>
  <c r="Y512" i="8"/>
  <c r="X515" i="8"/>
  <c r="Y515" i="8"/>
  <c r="X509" i="8"/>
  <c r="Y509" i="8"/>
  <c r="Y510" i="8"/>
  <c r="W237" i="8"/>
  <c r="X237" i="8"/>
  <c r="Y237" i="8"/>
  <c r="W238" i="8"/>
  <c r="Y238" i="8"/>
  <c r="X501" i="8"/>
  <c r="Y222" i="8"/>
  <c r="Y220" i="8" s="1"/>
  <c r="Z222" i="8"/>
  <c r="Z220" i="8" s="1"/>
  <c r="Y214" i="8"/>
  <c r="Y212" i="8" s="1"/>
  <c r="Z214" i="8"/>
  <c r="Z212" i="8" s="1"/>
  <c r="Y206" i="8"/>
  <c r="Y204" i="8" s="1"/>
  <c r="Z206" i="8"/>
  <c r="Z204" i="8" s="1"/>
  <c r="Y198" i="8"/>
  <c r="Z198" i="8"/>
  <c r="AA541" i="8" l="1"/>
  <c r="AA526" i="8"/>
  <c r="U154" i="8"/>
  <c r="AA154" i="8" s="1"/>
  <c r="U156" i="8"/>
  <c r="U158" i="8"/>
  <c r="AA158" i="8" s="1"/>
  <c r="U160" i="8"/>
  <c r="AA160" i="8" s="1"/>
  <c r="U152" i="8"/>
  <c r="AA161" i="8"/>
  <c r="AA159" i="8"/>
  <c r="AA157" i="8"/>
  <c r="AA155" i="8"/>
  <c r="W153" i="8"/>
  <c r="Z152" i="8"/>
  <c r="Y152" i="8"/>
  <c r="X152" i="8"/>
  <c r="W152" i="8"/>
  <c r="AA153" i="8" l="1"/>
  <c r="AA152" i="8"/>
  <c r="AA156" i="8"/>
  <c r="AA599" i="8"/>
  <c r="AA600" i="8"/>
  <c r="V428" i="8" l="1"/>
  <c r="V291" i="8"/>
  <c r="V292" i="8"/>
  <c r="AA292" i="8" s="1"/>
  <c r="V586" i="8"/>
  <c r="V588" i="8"/>
  <c r="V545" i="8"/>
  <c r="V551" i="8"/>
  <c r="V548" i="8"/>
  <c r="V111" i="8"/>
  <c r="V74" i="8"/>
  <c r="V75" i="8"/>
  <c r="V80" i="8"/>
  <c r="V79" i="8"/>
  <c r="V68" i="8"/>
  <c r="V59" i="8"/>
  <c r="V61" i="8"/>
  <c r="V216" i="8"/>
  <c r="V200" i="8"/>
  <c r="V539" i="8" l="1"/>
  <c r="V104" i="8"/>
  <c r="V238" i="8" l="1"/>
  <c r="V237" i="8"/>
  <c r="V424" i="8"/>
  <c r="V239" i="8"/>
  <c r="V286" i="8"/>
  <c r="V501" i="8" l="1"/>
  <c r="V236" i="8" s="1"/>
  <c r="V120" i="8" l="1"/>
  <c r="W222" i="8" l="1"/>
  <c r="W214" i="8"/>
  <c r="W206" i="8"/>
  <c r="W198" i="8"/>
  <c r="V25" i="8" l="1"/>
  <c r="W562" i="8"/>
  <c r="X562" i="8"/>
  <c r="V510" i="8"/>
  <c r="V518" i="8"/>
  <c r="V515" i="8"/>
  <c r="V512" i="8"/>
  <c r="V509" i="8"/>
  <c r="V195" i="8" l="1"/>
  <c r="V209" i="8" l="1"/>
  <c r="V210" i="8"/>
  <c r="AA210" i="8" s="1"/>
  <c r="V201" i="8"/>
  <c r="V202" i="8"/>
  <c r="V217" i="8"/>
  <c r="V218" i="8"/>
  <c r="V225" i="8"/>
  <c r="V226" i="8"/>
  <c r="AA103" i="8"/>
  <c r="W70" i="8"/>
  <c r="X70" i="8"/>
  <c r="Y70" i="8"/>
  <c r="Z70" i="8"/>
  <c r="T70" i="8"/>
  <c r="V222" i="8"/>
  <c r="V214" i="8"/>
  <c r="V206" i="8"/>
  <c r="V198" i="8"/>
  <c r="V574" i="8" l="1"/>
  <c r="V569" i="8"/>
  <c r="V566" i="8"/>
  <c r="V563" i="8"/>
  <c r="V562" i="8"/>
  <c r="V565" i="8"/>
  <c r="V568" i="8"/>
  <c r="V571" i="8"/>
  <c r="AA78" i="8"/>
  <c r="V77" i="8"/>
  <c r="W77" i="8"/>
  <c r="X77" i="8"/>
  <c r="Y77" i="8"/>
  <c r="Z77" i="8"/>
  <c r="AA79" i="8"/>
  <c r="U80" i="8"/>
  <c r="U77" i="8" s="1"/>
  <c r="T80" i="8"/>
  <c r="AA73" i="8"/>
  <c r="V70" i="8"/>
  <c r="AA80" i="8" l="1"/>
  <c r="V66" i="8"/>
  <c r="T77" i="8"/>
  <c r="AA77" i="8" s="1"/>
  <c r="AA74" i="8"/>
  <c r="U94" i="8"/>
  <c r="U428" i="8" l="1"/>
  <c r="AA428" i="8" s="1"/>
  <c r="U334" i="8"/>
  <c r="AA334" i="8" s="1"/>
  <c r="U291" i="8"/>
  <c r="AA291" i="8" s="1"/>
  <c r="U146" i="8" l="1"/>
  <c r="U144" i="8"/>
  <c r="AA38" i="8"/>
  <c r="AA149" i="8"/>
  <c r="AA138" i="8"/>
  <c r="U235" i="8" l="1"/>
  <c r="U25" i="8" l="1"/>
  <c r="U172" i="8"/>
  <c r="U170" i="8"/>
  <c r="U111" i="8"/>
  <c r="U598" i="8"/>
  <c r="U137" i="8"/>
  <c r="U429" i="8"/>
  <c r="U588" i="8"/>
  <c r="U551" i="8"/>
  <c r="U222" i="8"/>
  <c r="U224" i="8"/>
  <c r="U98" i="8"/>
  <c r="U64" i="8"/>
  <c r="U584" i="8"/>
  <c r="U545" i="8"/>
  <c r="U206" i="8"/>
  <c r="U205" i="8"/>
  <c r="U208" i="8"/>
  <c r="U90" i="8"/>
  <c r="U72" i="8"/>
  <c r="U70" i="8" s="1"/>
  <c r="U59" i="8"/>
  <c r="U424" i="8" l="1"/>
  <c r="AA429" i="8"/>
  <c r="U336" i="8"/>
  <c r="AA336" i="8" s="1"/>
  <c r="U335" i="8"/>
  <c r="AA335" i="8" s="1"/>
  <c r="U586" i="8"/>
  <c r="U548" i="8"/>
  <c r="U214" i="8"/>
  <c r="U216" i="8"/>
  <c r="U113" i="8"/>
  <c r="U61" i="8"/>
  <c r="U200" i="8"/>
  <c r="U198" i="8"/>
  <c r="AA198" i="8" s="1"/>
  <c r="U68" i="8"/>
  <c r="U57" i="8"/>
  <c r="U102" i="8" l="1"/>
  <c r="U104" i="8" l="1"/>
  <c r="U117" i="8"/>
  <c r="U501" i="8"/>
  <c r="U610" i="8"/>
  <c r="Y142" i="8" l="1"/>
  <c r="Z142" i="8"/>
  <c r="AA601" i="8" l="1"/>
  <c r="W596" i="8" l="1"/>
  <c r="X564" i="8" l="1"/>
  <c r="X567" i="8"/>
  <c r="X570" i="8"/>
  <c r="X559" i="8"/>
  <c r="X27" i="8"/>
  <c r="Y27" i="8"/>
  <c r="U120" i="8" l="1"/>
  <c r="U142" i="8" l="1"/>
  <c r="AA71" i="8" l="1"/>
  <c r="AA72" i="8"/>
  <c r="AA75" i="8"/>
  <c r="V139" i="8" l="1"/>
  <c r="W139" i="8"/>
  <c r="X139" i="8"/>
  <c r="Y139" i="8"/>
  <c r="Z139" i="8"/>
  <c r="U139" i="8" l="1"/>
  <c r="U543" i="8"/>
  <c r="U110" i="8"/>
  <c r="U86" i="8" l="1"/>
  <c r="U542" i="8"/>
  <c r="U221" i="8"/>
  <c r="U213" i="8"/>
  <c r="U197" i="8"/>
  <c r="U109" i="8"/>
  <c r="AA555" i="8" l="1"/>
  <c r="AA554" i="8"/>
  <c r="U237" i="8" l="1"/>
  <c r="U518" i="8"/>
  <c r="U515" i="8"/>
  <c r="U512" i="8"/>
  <c r="U509" i="8"/>
  <c r="U150" i="8"/>
  <c r="AA145" i="8" l="1"/>
  <c r="U229" i="8" l="1"/>
  <c r="U230" i="8"/>
  <c r="U192" i="8"/>
  <c r="U220" i="8"/>
  <c r="AA221" i="8"/>
  <c r="V220" i="8"/>
  <c r="W220" i="8"/>
  <c r="X220" i="8"/>
  <c r="V212" i="8"/>
  <c r="W212" i="8"/>
  <c r="X212" i="8"/>
  <c r="U212" i="8"/>
  <c r="AA213" i="8"/>
  <c r="V204" i="8"/>
  <c r="W204" i="8"/>
  <c r="X204" i="8"/>
  <c r="U204" i="8"/>
  <c r="T205" i="8"/>
  <c r="AA205" i="8" s="1"/>
  <c r="V196" i="8"/>
  <c r="W196" i="8"/>
  <c r="X196" i="8"/>
  <c r="Y196" i="8"/>
  <c r="Z196" i="8"/>
  <c r="AA197" i="8"/>
  <c r="AA200" i="8"/>
  <c r="U24" i="8"/>
  <c r="AA143" i="8"/>
  <c r="AA144" i="8"/>
  <c r="U238" i="8"/>
  <c r="U329" i="8"/>
  <c r="U286" i="8"/>
  <c r="X189" i="8" l="1"/>
  <c r="U196" i="8"/>
  <c r="U239" i="8"/>
  <c r="U236" i="8" s="1"/>
  <c r="W236" i="8"/>
  <c r="U140" i="8" l="1"/>
  <c r="U115" i="8" l="1"/>
  <c r="U194" i="8" l="1"/>
  <c r="U167" i="8" s="1"/>
  <c r="V194" i="8" l="1"/>
  <c r="W194" i="8"/>
  <c r="W167" i="8" s="1"/>
  <c r="X194" i="8"/>
  <c r="Y194" i="8"/>
  <c r="Y167" i="8" s="1"/>
  <c r="Z194" i="8"/>
  <c r="V192" i="8"/>
  <c r="W192" i="8"/>
  <c r="W168" i="8" s="1"/>
  <c r="X168" i="8"/>
  <c r="Y192" i="8"/>
  <c r="Y168" i="8" s="1"/>
  <c r="Z192" i="8"/>
  <c r="AA25" i="8"/>
  <c r="AA24" i="8"/>
  <c r="X539" i="8"/>
  <c r="U195" i="8" l="1"/>
  <c r="AA195" i="8" s="1"/>
  <c r="AA219" i="8"/>
  <c r="AA218" i="8"/>
  <c r="AA217" i="8"/>
  <c r="AA211" i="8"/>
  <c r="AA203" i="8"/>
  <c r="AA226" i="8"/>
  <c r="AA227" i="8"/>
  <c r="AA225" i="8"/>
  <c r="AA578" i="8"/>
  <c r="AA598" i="8" l="1"/>
  <c r="AA563" i="8"/>
  <c r="AA141" i="8"/>
  <c r="AA119" i="8"/>
  <c r="AA101" i="8"/>
  <c r="AA99" i="8"/>
  <c r="AA97" i="8"/>
  <c r="AA95" i="8"/>
  <c r="AA93" i="8"/>
  <c r="AA91" i="8"/>
  <c r="AA89" i="8"/>
  <c r="AA87" i="8"/>
  <c r="AA112" i="8"/>
  <c r="AA116" i="8"/>
  <c r="AA114" i="8"/>
  <c r="AA148" i="8"/>
  <c r="AA48" i="8"/>
  <c r="Y30" i="8"/>
  <c r="Y26" i="8" s="1"/>
  <c r="Z30" i="8"/>
  <c r="Z108" i="8"/>
  <c r="Z107" i="8"/>
  <c r="Z85" i="8"/>
  <c r="Z36" i="8" s="1"/>
  <c r="Z84" i="8"/>
  <c r="Z83" i="8"/>
  <c r="Z82" i="8"/>
  <c r="Z67" i="8"/>
  <c r="Z35" i="8" s="1"/>
  <c r="Z66" i="8"/>
  <c r="Z56" i="8"/>
  <c r="Z34" i="8" s="1"/>
  <c r="Z55" i="8"/>
  <c r="Z49" i="8"/>
  <c r="Z39" i="8"/>
  <c r="Z31" i="8"/>
  <c r="Z140" i="8"/>
  <c r="AA208" i="8"/>
  <c r="AA224" i="8"/>
  <c r="AA216" i="8"/>
  <c r="AA518" i="8"/>
  <c r="AA512" i="8"/>
  <c r="AA509" i="8"/>
  <c r="AA557" i="8"/>
  <c r="AA556" i="8"/>
  <c r="AA552" i="8"/>
  <c r="AA549" i="8"/>
  <c r="AA546" i="8"/>
  <c r="AA543" i="8"/>
  <c r="Z540" i="8"/>
  <c r="Z536" i="8" s="1"/>
  <c r="Z539" i="8"/>
  <c r="AA520" i="8"/>
  <c r="AA519" i="8"/>
  <c r="AA517" i="8"/>
  <c r="AA516" i="8"/>
  <c r="AA515" i="8"/>
  <c r="AA514" i="8"/>
  <c r="AA513" i="8"/>
  <c r="AA511" i="8"/>
  <c r="AA510" i="8"/>
  <c r="AA503" i="8"/>
  <c r="AA502" i="8"/>
  <c r="Z168" i="8"/>
  <c r="Y174" i="8"/>
  <c r="Z175" i="8"/>
  <c r="Z176" i="8"/>
  <c r="AA186" i="8"/>
  <c r="AA188" i="8"/>
  <c r="AA209" i="8"/>
  <c r="AA202" i="8"/>
  <c r="AA201" i="8"/>
  <c r="Z191" i="8"/>
  <c r="Z190" i="8"/>
  <c r="AA229" i="8"/>
  <c r="AA233" i="8"/>
  <c r="AA232" i="8"/>
  <c r="Z228" i="8"/>
  <c r="AA579" i="8"/>
  <c r="AA576" i="8"/>
  <c r="AA577" i="8"/>
  <c r="AA574" i="8"/>
  <c r="AA569" i="8"/>
  <c r="AA566" i="8"/>
  <c r="AA572" i="8"/>
  <c r="Z537" i="8"/>
  <c r="U571" i="8"/>
  <c r="U568" i="8"/>
  <c r="U565" i="8"/>
  <c r="U562" i="8"/>
  <c r="Z174" i="8" l="1"/>
  <c r="Z167" i="8"/>
  <c r="Z29" i="8"/>
  <c r="U575" i="8"/>
  <c r="AA575" i="8" s="1"/>
  <c r="Z189" i="8"/>
  <c r="Z166" i="8" s="1"/>
  <c r="AA595" i="8"/>
  <c r="AA593" i="8"/>
  <c r="AA590" i="8"/>
  <c r="AA592" i="8"/>
  <c r="Z581" i="8"/>
  <c r="AA583" i="8"/>
  <c r="AA585" i="8"/>
  <c r="AA587" i="8"/>
  <c r="AA589" i="8"/>
  <c r="Z580" i="8"/>
  <c r="AA603" i="8"/>
  <c r="AA604" i="8"/>
  <c r="AA605" i="8"/>
  <c r="AA602" i="8"/>
  <c r="Z597" i="8"/>
  <c r="AA146" i="8"/>
  <c r="U559" i="8" l="1"/>
  <c r="Z535" i="8"/>
  <c r="AA142" i="8"/>
  <c r="AA222" i="8"/>
  <c r="AA214" i="8"/>
  <c r="AA206" i="8"/>
  <c r="Z15" i="8" l="1"/>
  <c r="X540" i="8"/>
  <c r="U539" i="8"/>
  <c r="W539" i="8"/>
  <c r="Y539" i="8"/>
  <c r="U540" i="8"/>
  <c r="V540" i="8"/>
  <c r="W540" i="8"/>
  <c r="Y540" i="8"/>
  <c r="T540" i="8"/>
  <c r="AA540" i="8" l="1"/>
  <c r="T64" i="8" l="1"/>
  <c r="AA64" i="8" s="1"/>
  <c r="U85" i="8" l="1"/>
  <c r="U36" i="8" s="1"/>
  <c r="AA151" i="8"/>
  <c r="AA150" i="8"/>
  <c r="T104" i="8" l="1"/>
  <c r="AA104" i="8" s="1"/>
  <c r="T43" i="8"/>
  <c r="T169" i="8" l="1"/>
  <c r="T237" i="8" l="1"/>
  <c r="T172" i="8" l="1"/>
  <c r="T24" i="8" l="1"/>
  <c r="T170" i="8" l="1"/>
  <c r="T25" i="8" l="1"/>
  <c r="T235" i="8" l="1"/>
  <c r="AA235" i="8" s="1"/>
  <c r="T102" i="8" l="1"/>
  <c r="AA102" i="8" s="1"/>
  <c r="T230" i="8"/>
  <c r="AA230" i="8" s="1"/>
  <c r="T231" i="8"/>
  <c r="AA231" i="8" s="1"/>
  <c r="T42" i="8"/>
  <c r="T120" i="8"/>
  <c r="AA120" i="8" s="1"/>
  <c r="T117" i="8"/>
  <c r="AA117" i="8" s="1"/>
  <c r="T588" i="8"/>
  <c r="AA588" i="8" s="1"/>
  <c r="T551" i="8"/>
  <c r="AA551" i="8" s="1"/>
  <c r="T183" i="8"/>
  <c r="T115" i="8"/>
  <c r="AA115" i="8" s="1"/>
  <c r="T98" i="8"/>
  <c r="AA98" i="8" s="1"/>
  <c r="T111" i="8"/>
  <c r="AA111" i="8" s="1"/>
  <c r="T94" i="8"/>
  <c r="AA94" i="8" s="1"/>
  <c r="T90" i="8"/>
  <c r="AA90" i="8" s="1"/>
  <c r="T59" i="8"/>
  <c r="AA59" i="8" s="1"/>
  <c r="T548" i="8"/>
  <c r="AA548" i="8" s="1"/>
  <c r="T61" i="8"/>
  <c r="AA61" i="8" s="1"/>
  <c r="T582" i="8"/>
  <c r="AA582" i="8" s="1"/>
  <c r="T542" i="8"/>
  <c r="AA542" i="8" s="1"/>
  <c r="T109" i="8"/>
  <c r="AA109" i="8" s="1"/>
  <c r="T86" i="8"/>
  <c r="AA86" i="8" s="1"/>
  <c r="T68" i="8"/>
  <c r="AA68" i="8" s="1"/>
  <c r="AA105" i="8" l="1"/>
  <c r="T238" i="8" l="1"/>
  <c r="AA238" i="8" s="1"/>
  <c r="AA609" i="8" l="1"/>
  <c r="U27" i="8" l="1"/>
  <c r="V27" i="8"/>
  <c r="T27" i="8"/>
  <c r="U176" i="8" l="1"/>
  <c r="V176" i="8"/>
  <c r="W176" i="8"/>
  <c r="X176" i="8"/>
  <c r="Y176" i="8"/>
  <c r="T176" i="8"/>
  <c r="AA176" i="8" s="1"/>
  <c r="V174" i="8"/>
  <c r="U31" i="8"/>
  <c r="V31" i="8"/>
  <c r="W31" i="8"/>
  <c r="T31" i="8"/>
  <c r="U30" i="8"/>
  <c r="U26" i="8" s="1"/>
  <c r="V30" i="8"/>
  <c r="V26" i="8" s="1"/>
  <c r="W26" i="8"/>
  <c r="X26" i="8"/>
  <c r="AA26" i="8" s="1"/>
  <c r="T30" i="8"/>
  <c r="T26" i="8" s="1"/>
  <c r="AA30" i="8" l="1"/>
  <c r="AA174" i="8"/>
  <c r="Y85" i="8" l="1"/>
  <c r="Y36" i="8" s="1"/>
  <c r="T85" i="8"/>
  <c r="X85" i="8"/>
  <c r="X36" i="8" s="1"/>
  <c r="W85" i="8"/>
  <c r="W36" i="8" s="1"/>
  <c r="U596" i="8"/>
  <c r="V596" i="8"/>
  <c r="Y596" i="8"/>
  <c r="T596" i="8"/>
  <c r="AA596" i="8" l="1"/>
  <c r="T36" i="8"/>
  <c r="V85" i="8"/>
  <c r="V36" i="8" s="1"/>
  <c r="T220" i="8"/>
  <c r="T212" i="8"/>
  <c r="T204" i="8"/>
  <c r="T196" i="8"/>
  <c r="AA196" i="8" s="1"/>
  <c r="U82" i="8"/>
  <c r="AA36" i="8" l="1"/>
  <c r="AA220" i="8"/>
  <c r="AA85" i="8"/>
  <c r="AA204" i="8"/>
  <c r="AA212" i="8"/>
  <c r="AA184" i="8"/>
  <c r="AA182" i="8"/>
  <c r="AA180" i="8"/>
  <c r="AA178" i="8"/>
  <c r="T192" i="8"/>
  <c r="T110" i="8"/>
  <c r="T57" i="8"/>
  <c r="AA57" i="8" s="1"/>
  <c r="AA183" i="8"/>
  <c r="T584" i="8"/>
  <c r="AA584" i="8" s="1"/>
  <c r="T586" i="8"/>
  <c r="AA586" i="8" s="1"/>
  <c r="T545" i="8"/>
  <c r="AA545" i="8" s="1"/>
  <c r="T501" i="8"/>
  <c r="AA501" i="8" s="1"/>
  <c r="T113" i="8"/>
  <c r="AA113" i="8" s="1"/>
  <c r="AA70" i="8"/>
  <c r="AA42" i="8"/>
  <c r="T140" i="8"/>
  <c r="T179" i="8"/>
  <c r="AA179" i="8" s="1"/>
  <c r="AA610" i="8"/>
  <c r="Y597" i="8"/>
  <c r="X597" i="8"/>
  <c r="W597" i="8"/>
  <c r="V597" i="8"/>
  <c r="U597" i="8"/>
  <c r="T597" i="8"/>
  <c r="AA597" i="8"/>
  <c r="AA594" i="8"/>
  <c r="Y581" i="8"/>
  <c r="X581" i="8"/>
  <c r="W581" i="8"/>
  <c r="V581" i="8"/>
  <c r="V538" i="8" s="1"/>
  <c r="U581" i="8"/>
  <c r="U538" i="8" s="1"/>
  <c r="Y580" i="8"/>
  <c r="X580" i="8"/>
  <c r="W580" i="8"/>
  <c r="V580" i="8"/>
  <c r="U580" i="8"/>
  <c r="U535" i="8" s="1"/>
  <c r="AA573" i="8"/>
  <c r="T571" i="8"/>
  <c r="Y570" i="8"/>
  <c r="W570" i="8"/>
  <c r="V570" i="8"/>
  <c r="U570" i="8"/>
  <c r="T570" i="8"/>
  <c r="T568" i="8"/>
  <c r="Y567" i="8"/>
  <c r="W567" i="8"/>
  <c r="V567" i="8"/>
  <c r="U567" i="8"/>
  <c r="T567" i="8"/>
  <c r="T565" i="8"/>
  <c r="Y564" i="8"/>
  <c r="W564" i="8"/>
  <c r="V564" i="8"/>
  <c r="U564" i="8"/>
  <c r="T564" i="8"/>
  <c r="T562" i="8"/>
  <c r="Y561" i="8"/>
  <c r="X561" i="8"/>
  <c r="W561" i="8"/>
  <c r="V561" i="8"/>
  <c r="U561" i="8"/>
  <c r="T561" i="8"/>
  <c r="Y560" i="8"/>
  <c r="Y537" i="8" s="1"/>
  <c r="X560" i="8"/>
  <c r="X537" i="8" s="1"/>
  <c r="W560" i="8"/>
  <c r="W537" i="8" s="1"/>
  <c r="V560" i="8"/>
  <c r="V537" i="8" s="1"/>
  <c r="U537" i="8"/>
  <c r="T560" i="8"/>
  <c r="Y536" i="8"/>
  <c r="X536" i="8"/>
  <c r="W536" i="8"/>
  <c r="V536" i="8"/>
  <c r="U536" i="8"/>
  <c r="AA500" i="8"/>
  <c r="AA499" i="8"/>
  <c r="AA498" i="8"/>
  <c r="AA497" i="8"/>
  <c r="AA496" i="8"/>
  <c r="T495" i="8"/>
  <c r="AA495" i="8" s="1"/>
  <c r="AA494" i="8"/>
  <c r="AA493" i="8"/>
  <c r="AA492" i="8"/>
  <c r="AA491" i="8"/>
  <c r="AA490" i="8"/>
  <c r="T489" i="8"/>
  <c r="AA489" i="8" s="1"/>
  <c r="AA488" i="8"/>
  <c r="AA487" i="8"/>
  <c r="AA486" i="8"/>
  <c r="AA485" i="8"/>
  <c r="AA484" i="8"/>
  <c r="T483" i="8"/>
  <c r="AA483" i="8" s="1"/>
  <c r="AA482" i="8"/>
  <c r="AA481" i="8"/>
  <c r="AA480" i="8"/>
  <c r="AA479" i="8"/>
  <c r="AA478" i="8"/>
  <c r="T477" i="8"/>
  <c r="AA477" i="8" s="1"/>
  <c r="AA476" i="8"/>
  <c r="AA475" i="8"/>
  <c r="AA474" i="8"/>
  <c r="AA473" i="8"/>
  <c r="AA472" i="8"/>
  <c r="T471" i="8"/>
  <c r="AA471" i="8" s="1"/>
  <c r="AA470" i="8"/>
  <c r="AA469" i="8"/>
  <c r="AA468" i="8"/>
  <c r="AA467" i="8"/>
  <c r="T466" i="8"/>
  <c r="AA466" i="8" s="1"/>
  <c r="AA465" i="8"/>
  <c r="AA464" i="8"/>
  <c r="AA463" i="8"/>
  <c r="AA462" i="8"/>
  <c r="AA461" i="8"/>
  <c r="T460" i="8"/>
  <c r="AA460" i="8" s="1"/>
  <c r="AA459" i="8"/>
  <c r="AA458" i="8"/>
  <c r="AA457" i="8"/>
  <c r="AA456" i="8"/>
  <c r="AA455" i="8"/>
  <c r="T454" i="8"/>
  <c r="AA454" i="8" s="1"/>
  <c r="AA453" i="8"/>
  <c r="AA452" i="8"/>
  <c r="AA451" i="8"/>
  <c r="AA450" i="8"/>
  <c r="AA449" i="8"/>
  <c r="T448" i="8"/>
  <c r="AA448" i="8" s="1"/>
  <c r="AA447" i="8"/>
  <c r="AA446" i="8"/>
  <c r="AA445" i="8"/>
  <c r="AA444" i="8"/>
  <c r="AA443" i="8"/>
  <c r="T442" i="8"/>
  <c r="AA442" i="8" s="1"/>
  <c r="AA441" i="8"/>
  <c r="AA440" i="8"/>
  <c r="AA439" i="8"/>
  <c r="AA438" i="8"/>
  <c r="AA437" i="8"/>
  <c r="T436" i="8"/>
  <c r="AA436" i="8" s="1"/>
  <c r="AA435" i="8"/>
  <c r="AA434" i="8"/>
  <c r="AA433" i="8"/>
  <c r="T426" i="8"/>
  <c r="AA426" i="8" s="1"/>
  <c r="T425" i="8"/>
  <c r="AA425" i="8" s="1"/>
  <c r="AA423" i="8"/>
  <c r="AA422" i="8"/>
  <c r="AA421" i="8"/>
  <c r="AA420" i="8"/>
  <c r="AA419" i="8"/>
  <c r="AA418" i="8"/>
  <c r="T417" i="8"/>
  <c r="AA417" i="8" s="1"/>
  <c r="AA416" i="8"/>
  <c r="AA415" i="8"/>
  <c r="AA414" i="8"/>
  <c r="AA413" i="8"/>
  <c r="AA412" i="8"/>
  <c r="T411" i="8"/>
  <c r="AA411" i="8" s="1"/>
  <c r="AA410" i="8"/>
  <c r="AA409" i="8"/>
  <c r="AA408" i="8"/>
  <c r="AA407" i="8"/>
  <c r="AA406" i="8"/>
  <c r="T405" i="8"/>
  <c r="AA405" i="8" s="1"/>
  <c r="AA404" i="8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AA392" i="8"/>
  <c r="T391" i="8"/>
  <c r="AA391" i="8" s="1"/>
  <c r="AA390" i="8"/>
  <c r="AA389" i="8"/>
  <c r="AA388" i="8"/>
  <c r="AA387" i="8"/>
  <c r="AA386" i="8"/>
  <c r="AA385" i="8"/>
  <c r="T384" i="8"/>
  <c r="AA384" i="8" s="1"/>
  <c r="AA383" i="8"/>
  <c r="AA382" i="8"/>
  <c r="AA381" i="8"/>
  <c r="AA380" i="8"/>
  <c r="AA379" i="8"/>
  <c r="AA378" i="8"/>
  <c r="T377" i="8"/>
  <c r="AA377" i="8" s="1"/>
  <c r="AA376" i="8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AA364" i="8"/>
  <c r="T363" i="8"/>
  <c r="AA363" i="8" s="1"/>
  <c r="AA362" i="8"/>
  <c r="AA361" i="8"/>
  <c r="AA360" i="8"/>
  <c r="AA359" i="8"/>
  <c r="AA358" i="8"/>
  <c r="AA357" i="8"/>
  <c r="T356" i="8"/>
  <c r="AA356" i="8" s="1"/>
  <c r="AA355" i="8"/>
  <c r="AA354" i="8"/>
  <c r="AA353" i="8"/>
  <c r="AA352" i="8"/>
  <c r="AA351" i="8"/>
  <c r="AA350" i="8"/>
  <c r="T349" i="8"/>
  <c r="AA349" i="8" s="1"/>
  <c r="AA348" i="8"/>
  <c r="AA347" i="8"/>
  <c r="AA346" i="8"/>
  <c r="AA345" i="8"/>
  <c r="AA344" i="8"/>
  <c r="T343" i="8"/>
  <c r="AA343" i="8" s="1"/>
  <c r="AA342" i="8"/>
  <c r="AA341" i="8"/>
  <c r="T332" i="8"/>
  <c r="AA332" i="8" s="1"/>
  <c r="T330" i="8"/>
  <c r="AA330" i="8" s="1"/>
  <c r="AA328" i="8"/>
  <c r="AA327" i="8"/>
  <c r="AA326" i="8"/>
  <c r="AA325" i="8"/>
  <c r="T324" i="8"/>
  <c r="AA324" i="8" s="1"/>
  <c r="AA323" i="8"/>
  <c r="AA322" i="8"/>
  <c r="AA321" i="8"/>
  <c r="AA320" i="8"/>
  <c r="T319" i="8"/>
  <c r="AA319" i="8" s="1"/>
  <c r="AA318" i="8"/>
  <c r="AA317" i="8"/>
  <c r="AA316" i="8"/>
  <c r="AA315" i="8"/>
  <c r="T314" i="8"/>
  <c r="AA313" i="8"/>
  <c r="AA312" i="8"/>
  <c r="AA311" i="8"/>
  <c r="AA310" i="8"/>
  <c r="T309" i="8"/>
  <c r="AA309" i="8" s="1"/>
  <c r="AA308" i="8"/>
  <c r="AA307" i="8"/>
  <c r="AA306" i="8"/>
  <c r="AA305" i="8"/>
  <c r="T304" i="8"/>
  <c r="AA304" i="8" s="1"/>
  <c r="AA303" i="8"/>
  <c r="AA302" i="8"/>
  <c r="AA301" i="8"/>
  <c r="AA300" i="8"/>
  <c r="AA299" i="8"/>
  <c r="T298" i="8"/>
  <c r="AA298" i="8" s="1"/>
  <c r="AA297" i="8"/>
  <c r="AA296" i="8"/>
  <c r="T289" i="8"/>
  <c r="AA289" i="8" s="1"/>
  <c r="T287" i="8"/>
  <c r="AA287" i="8" s="1"/>
  <c r="AA285" i="8"/>
  <c r="AA284" i="8"/>
  <c r="AA283" i="8"/>
  <c r="AA282" i="8"/>
  <c r="AA281" i="8"/>
  <c r="T280" i="8"/>
  <c r="AA280" i="8" s="1"/>
  <c r="AA279" i="8"/>
  <c r="AA278" i="8"/>
  <c r="AA277" i="8"/>
  <c r="AA276" i="8"/>
  <c r="AA275" i="8"/>
  <c r="AA274" i="8"/>
  <c r="T273" i="8"/>
  <c r="AA273" i="8" s="1"/>
  <c r="AA272" i="8"/>
  <c r="AA271" i="8"/>
  <c r="AA270" i="8"/>
  <c r="AA269" i="8"/>
  <c r="AA268" i="8"/>
  <c r="T267" i="8"/>
  <c r="AA267" i="8" s="1"/>
  <c r="AA266" i="8"/>
  <c r="AA265" i="8"/>
  <c r="AA264" i="8"/>
  <c r="AA263" i="8"/>
  <c r="AA262" i="8"/>
  <c r="T261" i="8"/>
  <c r="AA260" i="8"/>
  <c r="AA259" i="8"/>
  <c r="AA258" i="8"/>
  <c r="AA257" i="8"/>
  <c r="T256" i="8"/>
  <c r="AA256" i="8" s="1"/>
  <c r="AA255" i="8"/>
  <c r="AD254" i="8"/>
  <c r="AA254" i="8"/>
  <c r="AD253" i="8"/>
  <c r="AA253" i="8"/>
  <c r="AD252" i="8"/>
  <c r="AA252" i="8"/>
  <c r="AD251" i="8"/>
  <c r="T251" i="8"/>
  <c r="AA251" i="8" s="1"/>
  <c r="T240" i="8"/>
  <c r="AA240" i="8" s="1"/>
  <c r="Y228" i="8"/>
  <c r="Y189" i="8" s="1"/>
  <c r="X228" i="8"/>
  <c r="W228" i="8"/>
  <c r="W189" i="8" s="1"/>
  <c r="V228" i="8"/>
  <c r="V189" i="8" s="1"/>
  <c r="U228" i="8"/>
  <c r="V167" i="8"/>
  <c r="T194" i="8"/>
  <c r="T193" i="8"/>
  <c r="Y191" i="8"/>
  <c r="X191" i="8"/>
  <c r="W191" i="8"/>
  <c r="V191" i="8"/>
  <c r="U191" i="8"/>
  <c r="Y190" i="8"/>
  <c r="X190" i="8"/>
  <c r="W190" i="8"/>
  <c r="V190" i="8"/>
  <c r="U190" i="8"/>
  <c r="AA181" i="8"/>
  <c r="AA177" i="8"/>
  <c r="Y175" i="8"/>
  <c r="X175" i="8"/>
  <c r="W175" i="8"/>
  <c r="V175" i="8"/>
  <c r="U175" i="8"/>
  <c r="Y140" i="8"/>
  <c r="W140" i="8"/>
  <c r="V140" i="8"/>
  <c r="T137" i="8"/>
  <c r="AA137" i="8" s="1"/>
  <c r="Y108" i="8"/>
  <c r="X108" i="8"/>
  <c r="W108" i="8"/>
  <c r="V108" i="8"/>
  <c r="U108" i="8"/>
  <c r="Y107" i="8"/>
  <c r="X107" i="8"/>
  <c r="W107" i="8"/>
  <c r="V107" i="8"/>
  <c r="U107" i="8"/>
  <c r="Y84" i="8"/>
  <c r="X84" i="8"/>
  <c r="W84" i="8"/>
  <c r="V84" i="8"/>
  <c r="U84" i="8"/>
  <c r="T84" i="8"/>
  <c r="Y83" i="8"/>
  <c r="X83" i="8"/>
  <c r="W83" i="8"/>
  <c r="V83" i="8"/>
  <c r="U83" i="8"/>
  <c r="T83" i="8"/>
  <c r="Y82" i="8"/>
  <c r="X82" i="8"/>
  <c r="W82" i="8"/>
  <c r="V82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X29" i="8" s="1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1" i="8"/>
  <c r="AA31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66" i="8" l="1"/>
  <c r="V29" i="8"/>
  <c r="AA261" i="8"/>
  <c r="AA242" i="8"/>
  <c r="X166" i="8"/>
  <c r="Y29" i="8"/>
  <c r="Y166" i="8"/>
  <c r="W29" i="8"/>
  <c r="U29" i="8"/>
  <c r="T286" i="8"/>
  <c r="AA286" i="8" s="1"/>
  <c r="AA33" i="8"/>
  <c r="AA580" i="8"/>
  <c r="AA562" i="8"/>
  <c r="AA192" i="8"/>
  <c r="AA28" i="8"/>
  <c r="AA83" i="8"/>
  <c r="T167" i="8"/>
  <c r="AA167" i="8" s="1"/>
  <c r="AA194" i="8"/>
  <c r="AA565" i="8"/>
  <c r="AA140" i="8"/>
  <c r="AA568" i="8"/>
  <c r="U189" i="8"/>
  <c r="U166" i="8" s="1"/>
  <c r="AA571" i="8"/>
  <c r="AA237" i="8"/>
  <c r="T108" i="8"/>
  <c r="AA108" i="8" s="1"/>
  <c r="AA110" i="8"/>
  <c r="T539" i="8"/>
  <c r="AA539" i="8" s="1"/>
  <c r="T537" i="8"/>
  <c r="AA537" i="8" s="1"/>
  <c r="AA560" i="8"/>
  <c r="U168" i="8"/>
  <c r="T329" i="8"/>
  <c r="AA329" i="8" s="1"/>
  <c r="V168" i="8"/>
  <c r="T168" i="8"/>
  <c r="V166" i="8"/>
  <c r="T581" i="8"/>
  <c r="AA581" i="8" s="1"/>
  <c r="T558" i="8"/>
  <c r="X535" i="8"/>
  <c r="AA564" i="8"/>
  <c r="AA570" i="8"/>
  <c r="V558" i="8"/>
  <c r="Y558" i="8"/>
  <c r="AA561" i="8"/>
  <c r="AA567" i="8"/>
  <c r="X558" i="8"/>
  <c r="T580" i="8"/>
  <c r="W558" i="8"/>
  <c r="T66" i="8"/>
  <c r="AA66" i="8" s="1"/>
  <c r="T559" i="8"/>
  <c r="AA49" i="8"/>
  <c r="U558" i="8"/>
  <c r="T191" i="8"/>
  <c r="AA191" i="8" s="1"/>
  <c r="T107" i="8"/>
  <c r="AA107" i="8" s="1"/>
  <c r="AD255" i="8"/>
  <c r="AA314" i="8"/>
  <c r="T424" i="8"/>
  <c r="V559" i="8"/>
  <c r="V535" i="8" s="1"/>
  <c r="T175" i="8"/>
  <c r="AA175" i="8" s="1"/>
  <c r="T190" i="8"/>
  <c r="AA190" i="8" s="1"/>
  <c r="Y559" i="8"/>
  <c r="Y535" i="8" s="1"/>
  <c r="W559" i="8"/>
  <c r="W535" i="8" s="1"/>
  <c r="T82" i="8"/>
  <c r="AA82" i="8" s="1"/>
  <c r="T228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W169" i="8" l="1"/>
  <c r="T239" i="8"/>
  <c r="V169" i="8"/>
  <c r="Z169" i="8"/>
  <c r="AA169" i="8" s="1"/>
  <c r="V15" i="8"/>
  <c r="U169" i="8"/>
  <c r="Y169" i="8"/>
  <c r="AA168" i="8"/>
  <c r="U15" i="8"/>
  <c r="X15" i="8"/>
  <c r="Y15" i="8"/>
  <c r="W15" i="8"/>
  <c r="AA559" i="8"/>
  <c r="T189" i="8"/>
  <c r="AA189" i="8" s="1"/>
  <c r="AA228" i="8"/>
  <c r="T29" i="8"/>
  <c r="T538" i="8"/>
  <c r="AA538" i="8" s="1"/>
  <c r="AA558" i="8"/>
  <c r="T535" i="8"/>
  <c r="AA535" i="8" s="1"/>
  <c r="T536" i="8"/>
  <c r="AA536" i="8" s="1"/>
  <c r="AA39" i="8"/>
  <c r="AA18" i="8"/>
  <c r="AA21" i="8"/>
  <c r="AA16" i="8"/>
  <c r="AA239" i="8" l="1"/>
  <c r="T236" i="8"/>
  <c r="T166" i="8" s="1"/>
  <c r="AA29" i="8"/>
  <c r="AA236" i="8" l="1"/>
  <c r="AA166" i="8"/>
  <c r="T15" i="8" l="1"/>
  <c r="AA15" i="8" s="1"/>
</calcChain>
</file>

<file path=xl/sharedStrings.xml><?xml version="1.0" encoding="utf-8"?>
<sst xmlns="http://schemas.openxmlformats.org/spreadsheetml/2006/main" count="6289" uniqueCount="388">
  <si>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</si>
  <si>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</si>
  <si>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</si>
  <si>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</si>
  <si>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</si>
  <si>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</si>
  <si>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</si>
  <si>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</si>
  <si>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</si>
  <si>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</si>
  <si>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</si>
  <si>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</si>
  <si>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</si>
  <si>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</si>
  <si>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</si>
  <si>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</si>
  <si>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</si>
  <si>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</si>
  <si>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</si>
  <si>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</si>
  <si>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</si>
  <si>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</si>
  <si>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</si>
  <si>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</si>
  <si>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</si>
  <si>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</si>
  <si>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</si>
  <si>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</si>
  <si>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</si>
  <si>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</si>
  <si>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</si>
  <si>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</si>
  <si>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</si>
  <si>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</si>
  <si>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</si>
  <si>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</si>
  <si>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</si>
  <si>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</si>
  <si>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</si>
  <si>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</si>
  <si>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</si>
  <si>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</si>
  <si>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</si>
  <si>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</si>
  <si>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</si>
  <si>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</si>
  <si>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</si>
  <si>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</si>
  <si>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</si>
  <si>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</si>
  <si>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</si>
  <si>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</si>
  <si>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</si>
  <si>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</si>
  <si>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</si>
  <si>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</si>
  <si>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</si>
  <si>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</si>
  <si>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</si>
  <si>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</si>
  <si>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</si>
  <si>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</si>
  <si>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</si>
  <si>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</si>
  <si>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</si>
  <si>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</si>
  <si>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</si>
  <si>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</si>
  <si>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</si>
  <si>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</si>
  <si>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</si>
  <si>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</si>
  <si>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</si>
  <si>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</si>
  <si>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</si>
  <si>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</si>
  <si>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</si>
  <si>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</si>
  <si>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</si>
  <si>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</si>
  <si>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</si>
  <si>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</si>
  <si>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</si>
  <si>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</si>
  <si>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</si>
  <si>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</si>
  <si>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</si>
  <si>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</si>
  <si>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</si>
  <si>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</si>
  <si>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</si>
  <si>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</si>
  <si>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</si>
  <si>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</si>
  <si>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</si>
  <si>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</si>
  <si>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</si>
  <si>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</si>
  <si>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</si>
  <si>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</si>
  <si>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</si>
  <si>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</si>
  <si>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</si>
  <si>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</si>
  <si>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</si>
  <si>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</si>
  <si>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</si>
  <si>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</si>
  <si>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</si>
  <si>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</si>
  <si>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</si>
  <si>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</si>
  <si>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</si>
  <si>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</si>
  <si>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</si>
  <si>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</si>
  <si>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</si>
  <si>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</si>
  <si>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</si>
  <si>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</si>
  <si>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</si>
  <si>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</si>
  <si>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</si>
  <si>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</si>
  <si>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</si>
  <si>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</si>
  <si>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</si>
  <si>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</si>
  <si>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</si>
  <si>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</si>
  <si>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</si>
  <si>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</si>
  <si>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</si>
  <si>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</si>
  <si>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</si>
  <si>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</si>
  <si>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</si>
  <si>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</si>
  <si>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</si>
  <si>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</si>
  <si>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</si>
  <si>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</si>
  <si>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</si>
  <si>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</si>
  <si>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</si>
  <si>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</si>
  <si>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</si>
  <si>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</si>
  <si>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</si>
  <si>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</si>
  <si>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</si>
  <si>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</si>
  <si>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</si>
  <si>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</si>
  <si>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</si>
  <si>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</si>
  <si>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</si>
  <si>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</si>
  <si>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</si>
  <si>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</si>
  <si>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</si>
  <si>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</si>
  <si>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</si>
  <si>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</si>
  <si>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</si>
  <si>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</si>
  <si>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</si>
  <si>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</si>
  <si>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</si>
  <si>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</si>
  <si>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</si>
  <si>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</si>
  <si>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</si>
  <si>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</si>
  <si>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</si>
  <si>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</si>
  <si>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</si>
  <si>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</si>
  <si>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</si>
  <si>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</si>
  <si>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</si>
  <si>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</si>
  <si>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</si>
  <si>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</si>
  <si>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</si>
  <si>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</si>
  <si>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</si>
  <si>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</si>
  <si>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</si>
  <si>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</si>
  <si>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</si>
  <si>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</si>
  <si>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</si>
  <si>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</si>
  <si>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</si>
  <si>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</si>
  <si>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</si>
  <si>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</si>
  <si>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</si>
  <si>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</si>
  <si>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</si>
  <si>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</si>
  <si>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</si>
  <si>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</si>
  <si>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</si>
  <si>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</si>
  <si>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</si>
  <si>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</si>
  <si>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</si>
  <si>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</si>
  <si>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</si>
  <si>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</si>
  <si>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</si>
  <si>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</si>
  <si>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</si>
  <si>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</si>
  <si>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</si>
  <si>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</si>
  <si>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</si>
  <si>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</si>
  <si>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</si>
  <si>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</si>
  <si>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</si>
  <si>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</si>
  <si>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</si>
  <si>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</si>
  <si>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</si>
  <si>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</si>
  <si>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</si>
  <si>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</si>
  <si>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</si>
  <si>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</si>
  <si>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</si>
  <si>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</si>
  <si>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</si>
  <si>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</si>
  <si>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</si>
  <si>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</si>
  <si>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</si>
  <si>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</si>
  <si>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</si>
  <si>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</si>
  <si>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</si>
  <si>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</si>
  <si>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</si>
  <si>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</si>
  <si>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</si>
  <si>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</si>
  <si>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</si>
  <si>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</si>
  <si>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</si>
  <si>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</si>
  <si>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</si>
  <si>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</si>
  <si>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</si>
  <si>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</si>
  <si>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</si>
  <si>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</si>
  <si>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</si>
  <si>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</si>
  <si>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</si>
  <si>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</si>
  <si>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</si>
  <si>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</si>
  <si>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</si>
  <si>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</si>
  <si>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</si>
  <si>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</si>
  <si>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</si>
  <si>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</si>
  <si>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</si>
  <si>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</si>
  <si>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</si>
  <si>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</si>
  <si>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</si>
  <si>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</si>
  <si>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</si>
  <si>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</si>
  <si>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</si>
  <si>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</si>
  <si>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</si>
  <si>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</si>
  <si>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</si>
  <si>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</si>
  <si>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</si>
  <si>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</si>
  <si>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</si>
  <si>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</si>
  <si>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</si>
  <si>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</si>
  <si>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</si>
  <si>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</si>
  <si>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</si>
  <si>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</si>
  <si>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</si>
  <si>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</si>
  <si>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</si>
  <si>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</si>
  <si>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</si>
  <si>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</si>
  <si>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</si>
  <si>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</si>
  <si>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</si>
  <si>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</si>
  <si>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</si>
  <si>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</si>
  <si>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</si>
  <si>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</si>
  <si>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</si>
  <si>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</si>
  <si>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</si>
  <si>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</si>
  <si>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</si>
  <si>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</si>
  <si>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</si>
  <si>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</si>
  <si>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</si>
  <si>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</si>
  <si>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</si>
  <si>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</si>
  <si>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</si>
  <si>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</si>
  <si>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</si>
  <si>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</si>
  <si>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</si>
  <si>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</si>
  <si>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</si>
  <si>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</si>
  <si>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</si>
  <si>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</si>
  <si>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</si>
  <si>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</si>
  <si>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</si>
  <si>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</si>
  <si>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</si>
  <si>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</si>
  <si>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</si>
  <si>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</si>
  <si>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</si>
  <si>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</si>
  <si>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</si>
  <si>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</si>
  <si>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</si>
  <si>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</si>
  <si>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</si>
  <si>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</si>
  <si>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</si>
  <si>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</si>
  <si>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</si>
  <si>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</si>
  <si>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</si>
  <si>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</si>
  <si>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</si>
  <si>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</si>
  <si>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</si>
  <si>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</si>
  <si>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</si>
  <si>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</si>
  <si>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</si>
  <si>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</si>
  <si>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</si>
  <si>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</si>
  <si>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</si>
  <si>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</si>
  <si>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</si>
  <si>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было 2159</t>
  </si>
  <si>
    <t>1,06</t>
  </si>
  <si>
    <t>33,9</t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</si>
  <si>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</si>
  <si>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</si>
  <si>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</si>
  <si>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</si>
  <si>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</si>
  <si>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</si>
  <si>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</si>
  <si>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</si>
  <si>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</si>
  <si>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</si>
  <si>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</si>
  <si>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t xml:space="preserve">Показатель 13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</si>
  <si>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</si>
  <si>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</si>
  <si>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</si>
  <si>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t xml:space="preserve">Показатель 7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</si>
  <si>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</si>
  <si>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П.Н. Кондратьев</t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</si>
  <si>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</si>
  <si>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t>Приложение  1
к постановлению Администрации города Твери
от «___»  _________2022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</si>
</sst>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6"/>
  <sheetViews>
    <sheetView tabSelected="1" view="pageBreakPreview" zoomScaleNormal="90" zoomScaleSheetLayoutView="100" zoomScalePageLayoutView="62" workbookViewId="0">
      <selection activeCell="R117" sqref="R117"/>
    </sheetView>
  </sheetViews>
  <sheetFormatPr defaultColWidth="8.5703125" defaultRowHeight="15.75" x14ac:dyDescent="0.25"/>
  <cols>
    <col min="1" max="17" width="2.7109375" style="8" customWidth="1"/>
    <col min="18" max="18" width="72.140625" style="7" customWidth="1"/>
    <col min="19" max="19" width="8.42578125" style="7" customWidth="1"/>
    <col min="20" max="21" width="10.140625" style="7" customWidth="1"/>
    <col min="22" max="22" width="10.140625" style="8" customWidth="1"/>
    <col min="23" max="26" width="10.140625" style="7" customWidth="1"/>
    <col min="27" max="27" width="12" style="8" customWidth="1"/>
    <col min="28" max="28" width="7.2851562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66" t="s">
        <v>387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02"/>
      <c r="AD1" s="102"/>
      <c r="AE1" s="102"/>
    </row>
    <row r="2" spans="1:35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8"/>
      <c r="Y2" s="155"/>
      <c r="Z2" s="155"/>
      <c r="AA2" s="155"/>
      <c r="AB2" s="155"/>
      <c r="AC2" s="102"/>
      <c r="AD2" s="102"/>
      <c r="AE2" s="102"/>
    </row>
    <row r="3" spans="1:35" ht="13.9" customHeight="1" x14ac:dyDescent="0.25">
      <c r="A3" s="166" t="s">
        <v>310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02"/>
      <c r="AD3" s="102"/>
      <c r="AE3" s="102"/>
    </row>
    <row r="4" spans="1:35" x14ac:dyDescent="0.25">
      <c r="A4" s="166" t="s">
        <v>26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9"/>
    </row>
    <row r="5" spans="1:35" x14ac:dyDescent="0.25">
      <c r="A5" s="166" t="s">
        <v>48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9"/>
    </row>
    <row r="6" spans="1:35" x14ac:dyDescent="0.25">
      <c r="A6" s="166" t="s">
        <v>281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55"/>
      <c r="S7" s="155"/>
      <c r="T7" s="155"/>
      <c r="U7" s="155"/>
      <c r="V7" s="11"/>
      <c r="W7" s="155"/>
      <c r="X7" s="167"/>
      <c r="Y7" s="167"/>
      <c r="Z7" s="167"/>
      <c r="AA7" s="167"/>
      <c r="AB7" s="167"/>
    </row>
    <row r="8" spans="1:35" ht="18.75" x14ac:dyDescent="0.25">
      <c r="A8" s="168" t="s">
        <v>12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9"/>
      <c r="AD8" s="12"/>
    </row>
    <row r="9" spans="1:35" ht="18.75" x14ac:dyDescent="0.25">
      <c r="A9" s="168" t="s">
        <v>280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</row>
    <row r="10" spans="1:35" x14ac:dyDescent="0.25">
      <c r="A10" s="169" t="s">
        <v>57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</row>
    <row r="11" spans="1:35" ht="9" customHeight="1" x14ac:dyDescent="0.25">
      <c r="V11" s="13"/>
    </row>
    <row r="12" spans="1:35" s="97" customFormat="1" ht="40.15" customHeight="1" x14ac:dyDescent="0.25">
      <c r="A12" s="170" t="s">
        <v>16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1" t="s">
        <v>13</v>
      </c>
      <c r="S12" s="171" t="s">
        <v>33</v>
      </c>
      <c r="T12" s="171" t="s">
        <v>14</v>
      </c>
      <c r="U12" s="171"/>
      <c r="V12" s="171"/>
      <c r="W12" s="171"/>
      <c r="X12" s="171"/>
      <c r="Y12" s="171"/>
      <c r="Z12" s="171"/>
      <c r="AA12" s="172" t="s">
        <v>10</v>
      </c>
      <c r="AB12" s="172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70" t="s">
        <v>29</v>
      </c>
      <c r="B13" s="170"/>
      <c r="C13" s="170"/>
      <c r="D13" s="170" t="s">
        <v>27</v>
      </c>
      <c r="E13" s="170"/>
      <c r="F13" s="170" t="s">
        <v>28</v>
      </c>
      <c r="G13" s="170"/>
      <c r="H13" s="170" t="s">
        <v>17</v>
      </c>
      <c r="I13" s="170"/>
      <c r="J13" s="170"/>
      <c r="K13" s="170"/>
      <c r="L13" s="170"/>
      <c r="M13" s="170"/>
      <c r="N13" s="170"/>
      <c r="O13" s="170"/>
      <c r="P13" s="170"/>
      <c r="Q13" s="170"/>
      <c r="R13" s="171"/>
      <c r="S13" s="171"/>
      <c r="T13" s="153">
        <v>2018</v>
      </c>
      <c r="U13" s="153">
        <v>2019</v>
      </c>
      <c r="V13" s="153">
        <v>2020</v>
      </c>
      <c r="W13" s="153">
        <v>2021</v>
      </c>
      <c r="X13" s="157">
        <v>2022</v>
      </c>
      <c r="Y13" s="153">
        <v>2023</v>
      </c>
      <c r="Z13" s="153">
        <v>2024</v>
      </c>
      <c r="AA13" s="153" t="s">
        <v>11</v>
      </c>
      <c r="AB13" s="153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T29+T166+T535+T596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425522.1999999999</v>
      </c>
      <c r="X15" s="24">
        <f t="shared" si="0"/>
        <v>497191.3</v>
      </c>
      <c r="Y15" s="24">
        <f t="shared" si="0"/>
        <v>316902.59999999998</v>
      </c>
      <c r="Z15" s="24">
        <f t="shared" si="0"/>
        <v>323409.09999999998</v>
      </c>
      <c r="AA15" s="24">
        <f>SUM(T15:Z15)</f>
        <v>3163884.8149999999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54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(416.9+89.6+58.4+46.2+69.9)/2557*100</f>
        <v>26.63277278060227</v>
      </c>
      <c r="X24" s="3">
        <f xml:space="preserve"> (416.9+89.6+58.4+46.2+69.9+61.1)/2557*100</f>
        <v>29.022291748142354</v>
      </c>
      <c r="Y24" s="3">
        <f xml:space="preserve"> (416.9+89.6+58.4+46.2+69.9+61.1+64.3)/2557*100</f>
        <v>31.536957371920217</v>
      </c>
      <c r="Z24" s="3">
        <f xml:space="preserve"> (416.9+89.6+58.4+46.2+69.9+61.1+64.3+64.3)/2557*100</f>
        <v>34.051622995698082</v>
      </c>
      <c r="AA24" s="6">
        <f>Z24</f>
        <v>34.051622995698082</v>
      </c>
      <c r="AB24" s="153">
        <v>2024</v>
      </c>
      <c r="AC24" s="33" t="s">
        <v>367</v>
      </c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((842+61)+58+42+7+17+18)/2738*100</f>
        <v>38.166544923301679</v>
      </c>
      <c r="Y25" s="3">
        <f>((842+61)+58+42+7+17+18+7)/2738*100</f>
        <v>38.422205989773559</v>
      </c>
      <c r="Z25" s="3">
        <f>((842+61)+58+42+7+17+18+7+7)/2738*100</f>
        <v>38.677867056245432</v>
      </c>
      <c r="AA25" s="6">
        <f>Z25</f>
        <v>38.677867056245432</v>
      </c>
      <c r="AB25" s="153">
        <v>2024</v>
      </c>
      <c r="AC25" s="42">
        <v>39.4</v>
      </c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0.164200140944327</v>
      </c>
      <c r="X26" s="129">
        <f>X30/426.6</f>
        <v>0.14322550398499764</v>
      </c>
      <c r="Y26" s="129">
        <f>Y30/427.7</f>
        <v>0.15033902267944821</v>
      </c>
      <c r="Z26" s="129">
        <f>Z30/427.4</f>
        <v>0.15044454843238184</v>
      </c>
      <c r="AA26" s="142">
        <f>SUM(T26:Z26)</f>
        <v>1.0704801039249918</v>
      </c>
      <c r="AB26" s="153">
        <v>2024</v>
      </c>
      <c r="AC26" s="33" t="s">
        <v>366</v>
      </c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53" t="s">
        <v>52</v>
      </c>
      <c r="T27" s="3">
        <f>T122</f>
        <v>2557</v>
      </c>
      <c r="U27" s="3">
        <f t="shared" ref="U27:Z27" si="6">U122</f>
        <v>2220.9</v>
      </c>
      <c r="V27" s="3">
        <f t="shared" si="6"/>
        <v>2165.9</v>
      </c>
      <c r="W27" s="3">
        <f>W122</f>
        <v>2189.1</v>
      </c>
      <c r="X27" s="3">
        <f t="shared" si="6"/>
        <v>2184.4999999999995</v>
      </c>
      <c r="Y27" s="3">
        <f t="shared" si="6"/>
        <v>2235.7999999999997</v>
      </c>
      <c r="Z27" s="3">
        <f t="shared" si="6"/>
        <v>2235.7999999999997</v>
      </c>
      <c r="AA27" s="5">
        <f>Z27</f>
        <v>2235.7999999999997</v>
      </c>
      <c r="AB27" s="153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53" t="s">
        <v>50</v>
      </c>
      <c r="T28" s="44">
        <f>T33</f>
        <v>2400</v>
      </c>
      <c r="U28" s="44">
        <f t="shared" ref="U28:Z28" si="7">U33</f>
        <v>2400</v>
      </c>
      <c r="V28" s="44">
        <f t="shared" si="7"/>
        <v>4059</v>
      </c>
      <c r="W28" s="44">
        <f t="shared" si="7"/>
        <v>3100</v>
      </c>
      <c r="X28" s="44">
        <f t="shared" si="7"/>
        <v>3513</v>
      </c>
      <c r="Y28" s="44">
        <f t="shared" si="7"/>
        <v>3513</v>
      </c>
      <c r="Z28" s="44">
        <f t="shared" si="7"/>
        <v>3100</v>
      </c>
      <c r="AA28" s="49">
        <f>SUM(T28:Z28)</f>
        <v>22085</v>
      </c>
      <c r="AB28" s="153">
        <v>2024</v>
      </c>
      <c r="AC28" s="33" t="s">
        <v>365</v>
      </c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141" t="s">
        <v>253</v>
      </c>
      <c r="T29" s="140">
        <f>T39+T49+T55+T66+T82+T104+T107+T117+T120+T137+T140+T142+T150</f>
        <v>325992.60000000003</v>
      </c>
      <c r="U29" s="140">
        <f>U39+U49+U55+U66+U82+U104+U107+U117+U120+U137+U140+U142</f>
        <v>483865.9</v>
      </c>
      <c r="V29" s="140">
        <f>V39+V55+V66+V82+V104+V107+V117+V120+V137+V140+V142+V150</f>
        <v>417830.99999999994</v>
      </c>
      <c r="W29" s="140">
        <f>W39+W49+W55+W66+W82+W104+W107+W117+W120+W137+W140+W142+W150+W152</f>
        <v>361990.59999999992</v>
      </c>
      <c r="X29" s="140">
        <f>X39+X49+X55+X66+X82+X104+X107+X117+X120+X137+X140+X142+X150+X152</f>
        <v>395744.2</v>
      </c>
      <c r="Y29" s="140">
        <f>Y39+Y49+Y55+Y66+Y82+Y104+Y107+Y117+Y120+Y137+Y140+Y142+Y150+Y152</f>
        <v>268745.59999999998</v>
      </c>
      <c r="Z29" s="140">
        <f>Z39+Z49+Z55+Z66+Z82+Z104+Z107+Z117+Z120+Z137+Z140+Z142+Z150+Z152</f>
        <v>268745.59999999998</v>
      </c>
      <c r="AA29" s="140">
        <f>SUM(T29:Z29)</f>
        <v>2522915.5</v>
      </c>
      <c r="AB29" s="141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53" t="s">
        <v>52</v>
      </c>
      <c r="T30" s="4">
        <f t="shared" ref="T30:Z30" si="8">T45+T149</f>
        <v>89.6</v>
      </c>
      <c r="U30" s="4">
        <f t="shared" si="8"/>
        <v>58.4</v>
      </c>
      <c r="V30" s="3">
        <f t="shared" si="8"/>
        <v>46.2</v>
      </c>
      <c r="W30" s="4">
        <f t="shared" si="8"/>
        <v>69.900000000000006</v>
      </c>
      <c r="X30" s="4">
        <f>X45+X149</f>
        <v>61.1</v>
      </c>
      <c r="Y30" s="4">
        <f t="shared" si="8"/>
        <v>64.3</v>
      </c>
      <c r="Z30" s="4">
        <f t="shared" si="8"/>
        <v>64.3</v>
      </c>
      <c r="AA30" s="5">
        <f>SUM(T30:Z30)</f>
        <v>453.80000000000007</v>
      </c>
      <c r="AB30" s="153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T44+T148</f>
        <v>5</v>
      </c>
      <c r="U31" s="2">
        <f>U44+U148</f>
        <v>6</v>
      </c>
      <c r="V31" s="44">
        <f>V44+V148</f>
        <v>4</v>
      </c>
      <c r="W31" s="2">
        <f>W44+W148</f>
        <v>4</v>
      </c>
      <c r="X31" s="2">
        <f>X44+X148</f>
        <v>5</v>
      </c>
      <c r="Y31" s="44">
        <f>Y148</f>
        <v>3</v>
      </c>
      <c r="Z31" s="44">
        <f>Z148</f>
        <v>3</v>
      </c>
      <c r="AA31" s="45">
        <f>SUM(T31:Z31)</f>
        <v>30</v>
      </c>
      <c r="AB31" s="153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53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53" t="s">
        <v>50</v>
      </c>
      <c r="T33" s="44">
        <f>T132</f>
        <v>2400</v>
      </c>
      <c r="U33" s="44">
        <f t="shared" ref="U33:Z33" si="9">U132</f>
        <v>2400</v>
      </c>
      <c r="V33" s="44">
        <f t="shared" si="9"/>
        <v>4059</v>
      </c>
      <c r="W33" s="44">
        <f t="shared" si="9"/>
        <v>3100</v>
      </c>
      <c r="X33" s="44">
        <f t="shared" si="9"/>
        <v>3513</v>
      </c>
      <c r="Y33" s="44">
        <f t="shared" si="9"/>
        <v>3513</v>
      </c>
      <c r="Z33" s="44">
        <f t="shared" si="9"/>
        <v>3100</v>
      </c>
      <c r="AA33" s="45">
        <f>SUM(T33:Z33)</f>
        <v>22085</v>
      </c>
      <c r="AB33" s="153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53" t="s">
        <v>38</v>
      </c>
      <c r="T34" s="44">
        <f t="shared" ref="T34:Y34" si="10">T56</f>
        <v>10</v>
      </c>
      <c r="U34" s="44">
        <f t="shared" si="10"/>
        <v>10</v>
      </c>
      <c r="V34" s="44">
        <f t="shared" si="10"/>
        <v>9</v>
      </c>
      <c r="W34" s="44">
        <f t="shared" si="10"/>
        <v>10</v>
      </c>
      <c r="X34" s="44">
        <f t="shared" si="10"/>
        <v>10</v>
      </c>
      <c r="Y34" s="44">
        <f t="shared" si="10"/>
        <v>10</v>
      </c>
      <c r="Z34" s="44">
        <f t="shared" ref="Z34" si="11">Z56</f>
        <v>10</v>
      </c>
      <c r="AA34" s="49">
        <v>10</v>
      </c>
      <c r="AB34" s="153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53" t="s">
        <v>38</v>
      </c>
      <c r="T35" s="44">
        <f t="shared" ref="T35:Y35" si="12">T67</f>
        <v>20</v>
      </c>
      <c r="U35" s="2">
        <f t="shared" si="12"/>
        <v>20</v>
      </c>
      <c r="V35" s="2">
        <f t="shared" si="12"/>
        <v>20</v>
      </c>
      <c r="W35" s="2">
        <f t="shared" si="12"/>
        <v>20</v>
      </c>
      <c r="X35" s="2">
        <f t="shared" si="12"/>
        <v>20</v>
      </c>
      <c r="Y35" s="2">
        <f t="shared" si="12"/>
        <v>20</v>
      </c>
      <c r="Z35" s="2">
        <f t="shared" ref="Z35" si="13">Z67</f>
        <v>20</v>
      </c>
      <c r="AA35" s="49">
        <v>20</v>
      </c>
      <c r="AB35" s="153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324</v>
      </c>
      <c r="S36" s="41" t="s">
        <v>38</v>
      </c>
      <c r="T36" s="44">
        <f>T85</f>
        <v>25</v>
      </c>
      <c r="U36" s="44">
        <f>U85</f>
        <v>77</v>
      </c>
      <c r="V36" s="44">
        <f t="shared" ref="V36:Y36" si="14">V85</f>
        <v>74</v>
      </c>
      <c r="W36" s="44">
        <f t="shared" si="14"/>
        <v>63</v>
      </c>
      <c r="X36" s="44">
        <f t="shared" si="14"/>
        <v>35</v>
      </c>
      <c r="Y36" s="44">
        <f t="shared" si="14"/>
        <v>35</v>
      </c>
      <c r="Z36" s="44">
        <f t="shared" ref="Z36" si="15">Z85</f>
        <v>35</v>
      </c>
      <c r="AA36" s="49">
        <f>SUM(T36:Z36)</f>
        <v>344</v>
      </c>
      <c r="AB36" s="153">
        <v>2024</v>
      </c>
      <c r="AC36" s="111"/>
      <c r="AD36" s="50"/>
    </row>
    <row r="37" spans="1:31" s="51" customFormat="1" ht="45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52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53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73" t="s">
        <v>73</v>
      </c>
      <c r="S39" s="184" t="s">
        <v>0</v>
      </c>
      <c r="T39" s="59">
        <f t="shared" ref="T39:Y39" si="16">T40+T41+T42+T43</f>
        <v>85389.599999999991</v>
      </c>
      <c r="U39" s="59">
        <f t="shared" si="16"/>
        <v>921.2</v>
      </c>
      <c r="V39" s="59">
        <f t="shared" si="16"/>
        <v>350</v>
      </c>
      <c r="W39" s="59">
        <f t="shared" si="16"/>
        <v>7371.0999999999995</v>
      </c>
      <c r="X39" s="59">
        <f t="shared" si="16"/>
        <v>17788.599999999999</v>
      </c>
      <c r="Y39" s="59">
        <f t="shared" si="16"/>
        <v>0</v>
      </c>
      <c r="Z39" s="59">
        <f t="shared" ref="Z39" si="17">Z40+Z41+Z42+Z43</f>
        <v>0</v>
      </c>
      <c r="AA39" s="59">
        <f>SUM(T39:Y39)</f>
        <v>111820.5</v>
      </c>
      <c r="AB39" s="58">
        <v>2022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73"/>
      <c r="S40" s="185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73"/>
      <c r="S41" s="185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73"/>
      <c r="S42" s="185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73"/>
      <c r="S43" s="186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2477.4+9.4+100+70+600+5000-885.7</f>
        <v>7371.0999999999995</v>
      </c>
      <c r="X43" s="1">
        <f>0+300+6588.6+10900</f>
        <v>17788.599999999999</v>
      </c>
      <c r="Y43" s="1">
        <v>0</v>
      </c>
      <c r="Z43" s="1">
        <v>0</v>
      </c>
      <c r="AA43" s="59">
        <f>T43+U43+V43+W43+X43+Y43</f>
        <v>28146.1</v>
      </c>
      <c r="AB43" s="58">
        <v>2022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2</v>
      </c>
      <c r="X44" s="44">
        <v>2</v>
      </c>
      <c r="Y44" s="44">
        <v>0</v>
      </c>
      <c r="Z44" s="44">
        <v>0</v>
      </c>
      <c r="AA44" s="49">
        <f>SUM(T44:Z44)</f>
        <v>9</v>
      </c>
      <c r="AB44" s="73">
        <v>2022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f>2.9+0.6</f>
        <v>3.5</v>
      </c>
      <c r="X45" s="3">
        <f>2.4+2</f>
        <v>4.4000000000000004</v>
      </c>
      <c r="Y45" s="3">
        <v>0</v>
      </c>
      <c r="Z45" s="3">
        <v>0</v>
      </c>
      <c r="AA45" s="6">
        <f>SUM(T45:Z45)</f>
        <v>97.5</v>
      </c>
      <c r="AB45" s="73">
        <v>2022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353</v>
      </c>
      <c r="S46" s="62" t="s">
        <v>38</v>
      </c>
      <c r="T46" s="44">
        <v>8</v>
      </c>
      <c r="U46" s="44">
        <v>5</v>
      </c>
      <c r="V46" s="44">
        <v>8</v>
      </c>
      <c r="W46" s="44">
        <v>16</v>
      </c>
      <c r="X46" s="44">
        <v>0</v>
      </c>
      <c r="Y46" s="44">
        <v>0</v>
      </c>
      <c r="Z46" s="44">
        <v>0</v>
      </c>
      <c r="AA46" s="49">
        <f>SUM(T46:Z46)</f>
        <v>37</v>
      </c>
      <c r="AB46" s="73">
        <v>2021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52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74" t="s">
        <v>78</v>
      </c>
      <c r="S49" s="63" t="s">
        <v>0</v>
      </c>
      <c r="T49" s="1"/>
      <c r="U49" s="1">
        <f t="shared" ref="U49:Z49" si="18">U51</f>
        <v>0</v>
      </c>
      <c r="V49" s="1">
        <f t="shared" si="18"/>
        <v>0</v>
      </c>
      <c r="W49" s="1">
        <f t="shared" si="18"/>
        <v>0</v>
      </c>
      <c r="X49" s="1">
        <f t="shared" si="18"/>
        <v>0</v>
      </c>
      <c r="Y49" s="1">
        <f t="shared" si="18"/>
        <v>0</v>
      </c>
      <c r="Z49" s="1">
        <f t="shared" si="18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75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75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75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19">T57+T59+T64+T61</f>
        <v>5077.4000000000005</v>
      </c>
      <c r="U55" s="59">
        <f t="shared" si="19"/>
        <v>2855.4</v>
      </c>
      <c r="V55" s="59">
        <f t="shared" si="19"/>
        <v>2623.8999999999996</v>
      </c>
      <c r="W55" s="59">
        <f t="shared" si="19"/>
        <v>3067.3</v>
      </c>
      <c r="X55" s="59">
        <f t="shared" si="19"/>
        <v>4645.1000000000004</v>
      </c>
      <c r="Y55" s="59">
        <f t="shared" si="19"/>
        <v>3600</v>
      </c>
      <c r="Z55" s="59">
        <f t="shared" ref="Z55" si="20">Z57+Z59+Z64+Z61</f>
        <v>3600</v>
      </c>
      <c r="AA55" s="59">
        <f>SUM(T55:Z55)</f>
        <v>25469.1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53" t="s">
        <v>38</v>
      </c>
      <c r="T56" s="2">
        <f t="shared" ref="T56:Y56" si="21">T58+T60+T62+T65</f>
        <v>10</v>
      </c>
      <c r="U56" s="2">
        <f t="shared" si="21"/>
        <v>10</v>
      </c>
      <c r="V56" s="2">
        <f t="shared" si="21"/>
        <v>9</v>
      </c>
      <c r="W56" s="2">
        <f t="shared" si="21"/>
        <v>10</v>
      </c>
      <c r="X56" s="2">
        <f t="shared" si="21"/>
        <v>10</v>
      </c>
      <c r="Y56" s="2">
        <f t="shared" si="21"/>
        <v>10</v>
      </c>
      <c r="Z56" s="2">
        <f t="shared" ref="Z56" si="22">Z58+Z60+Z62+Z65</f>
        <v>10</v>
      </c>
      <c r="AA56" s="49">
        <f>Z56</f>
        <v>10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f>1000-476.5</f>
        <v>523.5</v>
      </c>
      <c r="X57" s="1">
        <f>1000-50-74.8</f>
        <v>875.2</v>
      </c>
      <c r="Y57" s="1">
        <v>1000</v>
      </c>
      <c r="Z57" s="1">
        <v>1000</v>
      </c>
      <c r="AA57" s="59">
        <f>SUM(T57:Z57)</f>
        <v>6023.8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f>1100-302.2</f>
        <v>797.8</v>
      </c>
      <c r="X59" s="1">
        <f>1100+15</f>
        <v>1115</v>
      </c>
      <c r="Y59" s="1">
        <v>1100</v>
      </c>
      <c r="Z59" s="1">
        <v>1100</v>
      </c>
      <c r="AA59" s="59">
        <f>SUM(T59:Z59)</f>
        <v>6909.4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f>800+400+264.9</f>
        <v>1464.9</v>
      </c>
      <c r="Y61" s="1">
        <v>800</v>
      </c>
      <c r="Z61" s="1">
        <v>800</v>
      </c>
      <c r="AA61" s="59">
        <f>SUM(T61:Z61)</f>
        <v>5877.5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3</v>
      </c>
      <c r="X62" s="44">
        <v>3</v>
      </c>
      <c r="Y62" s="44">
        <v>3</v>
      </c>
      <c r="Z62" s="44">
        <v>3</v>
      </c>
      <c r="AA62" s="49">
        <v>3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600+100+91</f>
        <v>791</v>
      </c>
      <c r="X64" s="1">
        <v>1190</v>
      </c>
      <c r="Y64" s="1">
        <f t="shared" ref="Y64:Z64" si="23">600+100</f>
        <v>700</v>
      </c>
      <c r="Z64" s="1">
        <f t="shared" si="23"/>
        <v>700</v>
      </c>
      <c r="AA64" s="59">
        <f>SUM(T64:Z64)</f>
        <v>6658.4000000000005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4">T68+T70+T77</f>
        <v>3922.5999999999995</v>
      </c>
      <c r="U66" s="59">
        <f t="shared" si="24"/>
        <v>4901.3</v>
      </c>
      <c r="V66" s="59">
        <f>V68+V70+V77</f>
        <v>5627.7999999999993</v>
      </c>
      <c r="W66" s="59">
        <f t="shared" si="24"/>
        <v>5467.3</v>
      </c>
      <c r="X66" s="59">
        <f t="shared" si="24"/>
        <v>3101.9</v>
      </c>
      <c r="Y66" s="59">
        <f t="shared" si="24"/>
        <v>3045.3</v>
      </c>
      <c r="Z66" s="59">
        <f t="shared" ref="Z66" si="25">Z68+Z70+Z77</f>
        <v>3045.3</v>
      </c>
      <c r="AA66" s="59">
        <f>SUM(T66:Z66)</f>
        <v>29111.5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53" t="s">
        <v>38</v>
      </c>
      <c r="T67" s="2">
        <f t="shared" ref="T67:Y67" si="26">T69+T76+T81</f>
        <v>20</v>
      </c>
      <c r="U67" s="2">
        <f t="shared" si="26"/>
        <v>20</v>
      </c>
      <c r="V67" s="2">
        <f t="shared" si="26"/>
        <v>20</v>
      </c>
      <c r="W67" s="2">
        <f t="shared" si="26"/>
        <v>20</v>
      </c>
      <c r="X67" s="2">
        <f t="shared" si="26"/>
        <v>20</v>
      </c>
      <c r="Y67" s="2">
        <f t="shared" si="26"/>
        <v>20</v>
      </c>
      <c r="Z67" s="2">
        <f t="shared" ref="Z67" si="27">Z69+Z76+Z81</f>
        <v>20</v>
      </c>
      <c r="AA67" s="49">
        <v>20</v>
      </c>
      <c r="AB67" s="41">
        <v>2024</v>
      </c>
      <c r="AC67" s="33"/>
    </row>
    <row r="68" spans="1:34" s="72" customFormat="1" ht="31.5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43</v>
      </c>
      <c r="N68" s="54" t="s">
        <v>43</v>
      </c>
      <c r="O68" s="54" t="s">
        <v>43</v>
      </c>
      <c r="P68" s="54" t="s">
        <v>43</v>
      </c>
      <c r="Q68" s="54" t="s">
        <v>43</v>
      </c>
      <c r="R68" s="69" t="s">
        <v>93</v>
      </c>
      <c r="S68" s="55" t="s">
        <v>0</v>
      </c>
      <c r="T68" s="1">
        <f>2867.4-463.9-79-1000</f>
        <v>1324.5</v>
      </c>
      <c r="U68" s="1">
        <f>1867.4-227.9-273.9-31.9</f>
        <v>1333.6999999999998</v>
      </c>
      <c r="V68" s="1">
        <f>1867.4-1012.3</f>
        <v>855.10000000000014</v>
      </c>
      <c r="W68" s="1">
        <f>619.5+120.1-20.7</f>
        <v>718.9</v>
      </c>
      <c r="X68" s="1">
        <f>619.5+287.5+277</f>
        <v>1184</v>
      </c>
      <c r="Y68" s="1">
        <v>619.5</v>
      </c>
      <c r="Z68" s="1">
        <v>619.5</v>
      </c>
      <c r="AA68" s="59">
        <f>SUM(T68:Z68)</f>
        <v>6655.2</v>
      </c>
      <c r="AB68" s="58">
        <v>2024</v>
      </c>
      <c r="AC68" s="119"/>
      <c r="AD68" s="109"/>
      <c r="AE68" s="109"/>
      <c r="AG68" s="110"/>
      <c r="AH68" s="109"/>
    </row>
    <row r="69" spans="1:34" s="51" customFormat="1" ht="47.2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94</v>
      </c>
      <c r="S69" s="41" t="s">
        <v>38</v>
      </c>
      <c r="T69" s="2">
        <v>14</v>
      </c>
      <c r="U69" s="2">
        <v>14</v>
      </c>
      <c r="V69" s="2">
        <v>14</v>
      </c>
      <c r="W69" s="2">
        <v>14</v>
      </c>
      <c r="X69" s="2">
        <v>14</v>
      </c>
      <c r="Y69" s="2">
        <v>14</v>
      </c>
      <c r="Z69" s="2">
        <v>14</v>
      </c>
      <c r="AA69" s="49">
        <v>14</v>
      </c>
      <c r="AB69" s="41">
        <v>2024</v>
      </c>
      <c r="AC69" s="33"/>
    </row>
    <row r="70" spans="1:34" s="72" customFormat="1" x14ac:dyDescent="0.25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18</v>
      </c>
      <c r="N70" s="54" t="s">
        <v>18</v>
      </c>
      <c r="O70" s="54" t="s">
        <v>18</v>
      </c>
      <c r="P70" s="54" t="s">
        <v>18</v>
      </c>
      <c r="Q70" s="54" t="s">
        <v>18</v>
      </c>
      <c r="R70" s="173" t="s">
        <v>93</v>
      </c>
      <c r="S70" s="184" t="s">
        <v>0</v>
      </c>
      <c r="T70" s="1">
        <f>SUM(T71:T75)</f>
        <v>501.8</v>
      </c>
      <c r="U70" s="1">
        <f t="shared" ref="U70:Z70" si="28">SUM(U71:U75)</f>
        <v>1483.3</v>
      </c>
      <c r="V70" s="1">
        <f t="shared" si="28"/>
        <v>1744.9</v>
      </c>
      <c r="W70" s="1">
        <f t="shared" si="28"/>
        <v>3236.9</v>
      </c>
      <c r="X70" s="1">
        <f t="shared" si="28"/>
        <v>507.5</v>
      </c>
      <c r="Y70" s="1">
        <f t="shared" si="28"/>
        <v>870.5</v>
      </c>
      <c r="Z70" s="1">
        <f t="shared" si="28"/>
        <v>870.5</v>
      </c>
      <c r="AA70" s="59">
        <f>SUM(T70:Z70)</f>
        <v>9215.4</v>
      </c>
      <c r="AB70" s="58">
        <v>2024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19</v>
      </c>
      <c r="N71" s="54" t="s">
        <v>18</v>
      </c>
      <c r="O71" s="54" t="s">
        <v>20</v>
      </c>
      <c r="P71" s="54" t="s">
        <v>169</v>
      </c>
      <c r="Q71" s="54" t="s">
        <v>18</v>
      </c>
      <c r="R71" s="173"/>
      <c r="S71" s="185"/>
      <c r="T71" s="1">
        <v>0</v>
      </c>
      <c r="U71" s="1">
        <v>685.2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ref="AA71:AA75" si="29">SUM(T71:Z71)</f>
        <v>685.2</v>
      </c>
      <c r="AB71" s="58">
        <v>2019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37</v>
      </c>
      <c r="N72" s="54" t="s">
        <v>18</v>
      </c>
      <c r="O72" s="54" t="s">
        <v>20</v>
      </c>
      <c r="P72" s="54" t="s">
        <v>169</v>
      </c>
      <c r="Q72" s="54" t="s">
        <v>18</v>
      </c>
      <c r="R72" s="173"/>
      <c r="S72" s="185"/>
      <c r="T72" s="1">
        <v>0</v>
      </c>
      <c r="U72" s="1">
        <f>685.2-212.4</f>
        <v>472.80000000000007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59">
        <f t="shared" si="29"/>
        <v>472.80000000000007</v>
      </c>
      <c r="AB72" s="58">
        <v>2019</v>
      </c>
      <c r="AC72" s="120"/>
    </row>
    <row r="73" spans="1:34" s="72" customFormat="1" x14ac:dyDescent="0.25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19</v>
      </c>
      <c r="N73" s="54" t="s">
        <v>18</v>
      </c>
      <c r="O73" s="54" t="s">
        <v>23</v>
      </c>
      <c r="P73" s="54" t="s">
        <v>19</v>
      </c>
      <c r="Q73" s="54" t="s">
        <v>19</v>
      </c>
      <c r="R73" s="173"/>
      <c r="S73" s="185"/>
      <c r="T73" s="1">
        <v>0</v>
      </c>
      <c r="U73" s="1">
        <v>0</v>
      </c>
      <c r="V73" s="1">
        <v>1100</v>
      </c>
      <c r="W73" s="1">
        <f>0+2308.5</f>
        <v>2308.5</v>
      </c>
      <c r="X73" s="1">
        <v>0</v>
      </c>
      <c r="Y73" s="1">
        <v>0</v>
      </c>
      <c r="Z73" s="1">
        <v>0</v>
      </c>
      <c r="AA73" s="59">
        <f t="shared" si="29"/>
        <v>3408.5</v>
      </c>
      <c r="AB73" s="58">
        <v>2021</v>
      </c>
      <c r="AC73" s="120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37</v>
      </c>
      <c r="N74" s="54" t="s">
        <v>18</v>
      </c>
      <c r="O74" s="54" t="s">
        <v>23</v>
      </c>
      <c r="P74" s="54" t="s">
        <v>19</v>
      </c>
      <c r="Q74" s="54" t="s">
        <v>19</v>
      </c>
      <c r="R74" s="173"/>
      <c r="S74" s="185"/>
      <c r="T74" s="1">
        <v>0</v>
      </c>
      <c r="U74" s="1">
        <v>0</v>
      </c>
      <c r="V74" s="1">
        <f>149.5-11</f>
        <v>138.5</v>
      </c>
      <c r="W74" s="1">
        <f>0+393.6-49.2</f>
        <v>344.40000000000003</v>
      </c>
      <c r="X74" s="1">
        <v>0</v>
      </c>
      <c r="Y74" s="1">
        <v>0</v>
      </c>
      <c r="Z74" s="1">
        <v>0</v>
      </c>
      <c r="AA74" s="59">
        <f t="shared" si="29"/>
        <v>482.90000000000003</v>
      </c>
      <c r="AB74" s="58">
        <v>2021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43</v>
      </c>
      <c r="N75" s="54" t="s">
        <v>43</v>
      </c>
      <c r="O75" s="54" t="s">
        <v>43</v>
      </c>
      <c r="P75" s="54" t="s">
        <v>43</v>
      </c>
      <c r="Q75" s="54" t="s">
        <v>43</v>
      </c>
      <c r="R75" s="173"/>
      <c r="S75" s="186"/>
      <c r="T75" s="1">
        <v>501.8</v>
      </c>
      <c r="U75" s="1">
        <v>325.3</v>
      </c>
      <c r="V75" s="1">
        <f>870.5-149.5-214.6</f>
        <v>506.4</v>
      </c>
      <c r="W75" s="1">
        <f>870.5-335.7+49.2</f>
        <v>584</v>
      </c>
      <c r="X75" s="1">
        <f>870.5-363</f>
        <v>507.5</v>
      </c>
      <c r="Y75" s="1">
        <v>870.5</v>
      </c>
      <c r="Z75" s="1">
        <v>870.5</v>
      </c>
      <c r="AA75" s="59">
        <f t="shared" si="29"/>
        <v>4166</v>
      </c>
      <c r="AB75" s="58">
        <v>2024</v>
      </c>
      <c r="AC75" s="120"/>
    </row>
    <row r="76" spans="1:34" s="51" customFormat="1" ht="48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8" t="s">
        <v>95</v>
      </c>
      <c r="S76" s="41" t="s">
        <v>38</v>
      </c>
      <c r="T76" s="2">
        <v>1</v>
      </c>
      <c r="U76" s="2">
        <v>1</v>
      </c>
      <c r="V76" s="44">
        <v>1</v>
      </c>
      <c r="W76" s="2">
        <v>1</v>
      </c>
      <c r="X76" s="2">
        <v>1</v>
      </c>
      <c r="Y76" s="2">
        <v>1</v>
      </c>
      <c r="Z76" s="2">
        <v>1</v>
      </c>
      <c r="AA76" s="45">
        <v>1</v>
      </c>
      <c r="AB76" s="41">
        <v>2024</v>
      </c>
      <c r="AC76" s="127"/>
      <c r="AD76" s="109"/>
      <c r="AE76" s="50"/>
    </row>
    <row r="77" spans="1:34" s="72" customFormat="1" x14ac:dyDescent="0.25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18</v>
      </c>
      <c r="N77" s="54" t="s">
        <v>18</v>
      </c>
      <c r="O77" s="54" t="s">
        <v>18</v>
      </c>
      <c r="P77" s="54" t="s">
        <v>18</v>
      </c>
      <c r="Q77" s="54" t="s">
        <v>18</v>
      </c>
      <c r="R77" s="176" t="s">
        <v>96</v>
      </c>
      <c r="S77" s="184" t="s">
        <v>0</v>
      </c>
      <c r="T77" s="1">
        <f>T78+T79+T80</f>
        <v>2096.2999999999997</v>
      </c>
      <c r="U77" s="1">
        <f t="shared" ref="U77:Z77" si="30">U78+U79+U80</f>
        <v>2084.3000000000002</v>
      </c>
      <c r="V77" s="1">
        <f t="shared" si="30"/>
        <v>3027.7999999999997</v>
      </c>
      <c r="W77" s="1">
        <f t="shared" si="30"/>
        <v>1511.5</v>
      </c>
      <c r="X77" s="1">
        <f t="shared" si="30"/>
        <v>1410.4</v>
      </c>
      <c r="Y77" s="1">
        <f t="shared" si="30"/>
        <v>1555.3</v>
      </c>
      <c r="Z77" s="1">
        <f t="shared" si="30"/>
        <v>1555.3</v>
      </c>
      <c r="AA77" s="59">
        <f>SUM(T77:Z77)</f>
        <v>13240.899999999998</v>
      </c>
      <c r="AB77" s="58">
        <v>2024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19</v>
      </c>
      <c r="N78" s="54" t="s">
        <v>18</v>
      </c>
      <c r="O78" s="54" t="s">
        <v>23</v>
      </c>
      <c r="P78" s="54" t="s">
        <v>19</v>
      </c>
      <c r="Q78" s="54" t="s">
        <v>20</v>
      </c>
      <c r="R78" s="177"/>
      <c r="S78" s="185"/>
      <c r="T78" s="1">
        <v>0</v>
      </c>
      <c r="U78" s="1">
        <v>0</v>
      </c>
      <c r="V78" s="1">
        <v>1100</v>
      </c>
      <c r="W78" s="1">
        <v>0</v>
      </c>
      <c r="X78" s="1">
        <v>0</v>
      </c>
      <c r="Y78" s="1">
        <v>0</v>
      </c>
      <c r="Z78" s="1">
        <v>0</v>
      </c>
      <c r="AA78" s="59">
        <f t="shared" ref="AA78:AA80" si="31">SUM(T78:Z78)</f>
        <v>1100</v>
      </c>
      <c r="AB78" s="58">
        <v>2020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37</v>
      </c>
      <c r="N79" s="54" t="s">
        <v>18</v>
      </c>
      <c r="O79" s="54" t="s">
        <v>23</v>
      </c>
      <c r="P79" s="54" t="s">
        <v>19</v>
      </c>
      <c r="Q79" s="54" t="s">
        <v>20</v>
      </c>
      <c r="R79" s="177"/>
      <c r="S79" s="185"/>
      <c r="T79" s="1">
        <v>0</v>
      </c>
      <c r="U79" s="1">
        <v>0</v>
      </c>
      <c r="V79" s="1">
        <f>111-71.5</f>
        <v>39.5</v>
      </c>
      <c r="W79" s="1">
        <v>0</v>
      </c>
      <c r="X79" s="1">
        <v>0</v>
      </c>
      <c r="Y79" s="1">
        <v>0</v>
      </c>
      <c r="Z79" s="1">
        <v>0</v>
      </c>
      <c r="AA79" s="59">
        <f t="shared" si="31"/>
        <v>39.5</v>
      </c>
      <c r="AB79" s="58">
        <v>2020</v>
      </c>
      <c r="AC79" s="120"/>
    </row>
    <row r="80" spans="1:34" s="72" customFormat="1" x14ac:dyDescent="0.25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43</v>
      </c>
      <c r="N80" s="54" t="s">
        <v>43</v>
      </c>
      <c r="O80" s="54" t="s">
        <v>43</v>
      </c>
      <c r="P80" s="54" t="s">
        <v>43</v>
      </c>
      <c r="Q80" s="54" t="s">
        <v>43</v>
      </c>
      <c r="R80" s="178"/>
      <c r="S80" s="186"/>
      <c r="T80" s="1">
        <f>3665-832.4-710-26.3</f>
        <v>2096.2999999999997</v>
      </c>
      <c r="U80" s="1">
        <f>3624.7-120.3-282.1-1110.8-27.2</f>
        <v>2084.3000000000002</v>
      </c>
      <c r="V80" s="1">
        <f>3624.7-553-111-1072.4</f>
        <v>1888.2999999999997</v>
      </c>
      <c r="W80" s="1">
        <f>1555.3-43.8</f>
        <v>1511.5</v>
      </c>
      <c r="X80" s="1">
        <f>1555.3+120-264.9</f>
        <v>1410.4</v>
      </c>
      <c r="Y80" s="1">
        <v>1555.3</v>
      </c>
      <c r="Z80" s="1">
        <v>1555.3</v>
      </c>
      <c r="AA80" s="59">
        <f t="shared" si="31"/>
        <v>12101.399999999998</v>
      </c>
      <c r="AB80" s="58">
        <v>2024</v>
      </c>
      <c r="AC80" s="120"/>
    </row>
    <row r="81" spans="1:30" s="72" customFormat="1" ht="48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8" t="s">
        <v>97</v>
      </c>
      <c r="S81" s="41" t="s">
        <v>38</v>
      </c>
      <c r="T81" s="44">
        <v>5</v>
      </c>
      <c r="U81" s="44">
        <v>5</v>
      </c>
      <c r="V81" s="44">
        <v>5</v>
      </c>
      <c r="W81" s="44">
        <v>5</v>
      </c>
      <c r="X81" s="44">
        <v>5</v>
      </c>
      <c r="Y81" s="44">
        <v>5</v>
      </c>
      <c r="Z81" s="44">
        <v>5</v>
      </c>
      <c r="AA81" s="49">
        <v>5</v>
      </c>
      <c r="AB81" s="41">
        <v>2024</v>
      </c>
      <c r="AC81" s="123"/>
      <c r="AD81" s="109"/>
    </row>
    <row r="82" spans="1:30" s="72" customFormat="1" ht="31.5" x14ac:dyDescent="0.25">
      <c r="A82" s="54"/>
      <c r="B82" s="54"/>
      <c r="C82" s="54"/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43</v>
      </c>
      <c r="N82" s="54" t="s">
        <v>43</v>
      </c>
      <c r="O82" s="54" t="s">
        <v>43</v>
      </c>
      <c r="P82" s="54" t="s">
        <v>43</v>
      </c>
      <c r="Q82" s="54" t="s">
        <v>43</v>
      </c>
      <c r="R82" s="68" t="s">
        <v>98</v>
      </c>
      <c r="S82" s="58" t="s">
        <v>0</v>
      </c>
      <c r="T82" s="59">
        <f t="shared" ref="T82:Y82" si="32">T86+T90+T94+T98+T102</f>
        <v>4566.3999999999996</v>
      </c>
      <c r="U82" s="59">
        <f>U86+U90+U94+U98+U102</f>
        <v>7525.4000000000005</v>
      </c>
      <c r="V82" s="59">
        <f t="shared" si="32"/>
        <v>8494.6</v>
      </c>
      <c r="W82" s="59">
        <f t="shared" si="32"/>
        <v>11214.1</v>
      </c>
      <c r="X82" s="59">
        <f t="shared" si="32"/>
        <v>6338.4000000000005</v>
      </c>
      <c r="Y82" s="59">
        <f t="shared" si="32"/>
        <v>6400</v>
      </c>
      <c r="Z82" s="59">
        <f t="shared" ref="Z82" si="33">Z86+Z90+Z94+Z98+Z102</f>
        <v>6400</v>
      </c>
      <c r="AA82" s="59">
        <f>SUM(T82:Z82)</f>
        <v>50938.9</v>
      </c>
      <c r="AB82" s="58">
        <v>2024</v>
      </c>
      <c r="AC82" s="120"/>
    </row>
    <row r="83" spans="1:30" s="72" customFormat="1" ht="47.25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99</v>
      </c>
      <c r="S83" s="153" t="s">
        <v>38</v>
      </c>
      <c r="T83" s="44">
        <f t="shared" ref="T83:Y84" si="34">T87+T91+T95+T99</f>
        <v>65</v>
      </c>
      <c r="U83" s="44">
        <f t="shared" si="34"/>
        <v>198</v>
      </c>
      <c r="V83" s="44">
        <f t="shared" si="34"/>
        <v>310</v>
      </c>
      <c r="W83" s="44">
        <f t="shared" si="34"/>
        <v>136</v>
      </c>
      <c r="X83" s="44">
        <f t="shared" si="34"/>
        <v>90</v>
      </c>
      <c r="Y83" s="44">
        <f t="shared" si="34"/>
        <v>90</v>
      </c>
      <c r="Z83" s="44">
        <f t="shared" ref="Z83" si="35">Z87+Z91+Z95+Z99</f>
        <v>90</v>
      </c>
      <c r="AA83" s="49">
        <f>SUM(T83:Z83)</f>
        <v>979</v>
      </c>
      <c r="AB83" s="153">
        <v>2024</v>
      </c>
      <c r="AC83" s="33"/>
    </row>
    <row r="84" spans="1:30" s="72" customFormat="1" ht="31.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1" t="s">
        <v>100</v>
      </c>
      <c r="S84" s="153" t="s">
        <v>38</v>
      </c>
      <c r="T84" s="44">
        <f t="shared" si="34"/>
        <v>16</v>
      </c>
      <c r="U84" s="44">
        <f t="shared" si="34"/>
        <v>16</v>
      </c>
      <c r="V84" s="44">
        <f t="shared" si="34"/>
        <v>19</v>
      </c>
      <c r="W84" s="44">
        <f t="shared" si="34"/>
        <v>18</v>
      </c>
      <c r="X84" s="44">
        <f t="shared" si="34"/>
        <v>17</v>
      </c>
      <c r="Y84" s="44">
        <f t="shared" si="34"/>
        <v>17</v>
      </c>
      <c r="Z84" s="44">
        <f t="shared" ref="Z84" si="36">Z88+Z92+Z96+Z100</f>
        <v>17</v>
      </c>
      <c r="AA84" s="49">
        <v>17</v>
      </c>
      <c r="AB84" s="153">
        <v>2024</v>
      </c>
      <c r="AC84" s="33"/>
    </row>
    <row r="85" spans="1:30" ht="46.9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314</v>
      </c>
      <c r="S85" s="153" t="s">
        <v>38</v>
      </c>
      <c r="T85" s="44">
        <f>T89+T93+T97+T103+T101</f>
        <v>25</v>
      </c>
      <c r="U85" s="44">
        <f>U89+U93+U97+U103+U101</f>
        <v>77</v>
      </c>
      <c r="V85" s="44">
        <f>V89+V93+V97+V103+V101</f>
        <v>74</v>
      </c>
      <c r="W85" s="44">
        <f t="shared" ref="W85:Y85" si="37">W89+W93+W97+W103+W101</f>
        <v>63</v>
      </c>
      <c r="X85" s="44">
        <f t="shared" si="37"/>
        <v>35</v>
      </c>
      <c r="Y85" s="44">
        <f t="shared" si="37"/>
        <v>35</v>
      </c>
      <c r="Z85" s="44">
        <f t="shared" ref="Z85" si="38">Z89+Z93+Z97+Z103+Z101</f>
        <v>35</v>
      </c>
      <c r="AA85" s="49">
        <f>SUM(T85:Z85)</f>
        <v>344</v>
      </c>
      <c r="AB85" s="153">
        <v>2024</v>
      </c>
      <c r="AC85" s="123"/>
      <c r="AD85" s="102"/>
    </row>
    <row r="86" spans="1:30" ht="31.5" x14ac:dyDescent="0.25">
      <c r="A86" s="54" t="s">
        <v>18</v>
      </c>
      <c r="B86" s="54" t="s">
        <v>18</v>
      </c>
      <c r="C86" s="54" t="s">
        <v>22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9" t="s">
        <v>101</v>
      </c>
      <c r="S86" s="55" t="s">
        <v>0</v>
      </c>
      <c r="T86" s="1">
        <f>1780.9-223.4+140-15.2</f>
        <v>1682.3</v>
      </c>
      <c r="U86" s="1">
        <f>1650-73+745.2</f>
        <v>2322.1999999999998</v>
      </c>
      <c r="V86" s="1">
        <v>1650</v>
      </c>
      <c r="W86" s="1">
        <f>1500+855.8+1378.8-389.3</f>
        <v>3345.3</v>
      </c>
      <c r="X86" s="1">
        <f>1500-25.2</f>
        <v>1474.8</v>
      </c>
      <c r="Y86" s="1">
        <v>1500</v>
      </c>
      <c r="Z86" s="1">
        <v>1500</v>
      </c>
      <c r="AA86" s="59">
        <f>SUM(T86:Z86)</f>
        <v>13474.599999999999</v>
      </c>
      <c r="AB86" s="58">
        <v>2024</v>
      </c>
      <c r="AC86" s="120"/>
    </row>
    <row r="87" spans="1:30" ht="46.1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102</v>
      </c>
      <c r="S87" s="153" t="s">
        <v>38</v>
      </c>
      <c r="T87" s="2">
        <v>33</v>
      </c>
      <c r="U87" s="2">
        <v>38</v>
      </c>
      <c r="V87" s="2">
        <v>20</v>
      </c>
      <c r="W87" s="2">
        <v>27</v>
      </c>
      <c r="X87" s="2">
        <v>20</v>
      </c>
      <c r="Y87" s="2">
        <v>20</v>
      </c>
      <c r="Z87" s="2">
        <v>20</v>
      </c>
      <c r="AA87" s="49">
        <f>SUM(T87:Z87)</f>
        <v>178</v>
      </c>
      <c r="AB87" s="41">
        <v>2024</v>
      </c>
      <c r="AC87" s="33"/>
    </row>
    <row r="88" spans="1:30" ht="32.2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103</v>
      </c>
      <c r="S88" s="153" t="s">
        <v>38</v>
      </c>
      <c r="T88" s="2">
        <v>4</v>
      </c>
      <c r="U88" s="2">
        <v>4</v>
      </c>
      <c r="V88" s="2">
        <v>4</v>
      </c>
      <c r="W88" s="2">
        <v>4</v>
      </c>
      <c r="X88" s="2">
        <v>4</v>
      </c>
      <c r="Y88" s="2">
        <v>4</v>
      </c>
      <c r="Z88" s="2">
        <v>4</v>
      </c>
      <c r="AA88" s="45">
        <v>4</v>
      </c>
      <c r="AB88" s="41">
        <v>2024</v>
      </c>
      <c r="AC88" s="33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315</v>
      </c>
      <c r="S89" s="153" t="s">
        <v>38</v>
      </c>
      <c r="T89" s="44">
        <v>0</v>
      </c>
      <c r="U89" s="44">
        <v>29</v>
      </c>
      <c r="V89" s="44">
        <v>25</v>
      </c>
      <c r="W89" s="44">
        <v>17</v>
      </c>
      <c r="X89" s="44">
        <v>13</v>
      </c>
      <c r="Y89" s="44">
        <v>13</v>
      </c>
      <c r="Z89" s="44">
        <v>13</v>
      </c>
      <c r="AA89" s="49">
        <f>SUM(T89:Z89)</f>
        <v>110</v>
      </c>
      <c r="AB89" s="41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104</v>
      </c>
      <c r="S90" s="55" t="s">
        <v>0</v>
      </c>
      <c r="T90" s="1">
        <f>1051.4-28.4-48.1</f>
        <v>974.90000000000009</v>
      </c>
      <c r="U90" s="1">
        <f>1450-14.6</f>
        <v>1435.4</v>
      </c>
      <c r="V90" s="1">
        <f>1450+1054.3-450.6</f>
        <v>2053.7000000000003</v>
      </c>
      <c r="W90" s="1">
        <f>1500+1001+150</f>
        <v>2651</v>
      </c>
      <c r="X90" s="1">
        <f>1500+722</f>
        <v>2222</v>
      </c>
      <c r="Y90" s="1">
        <v>1500</v>
      </c>
      <c r="Z90" s="1">
        <v>1500</v>
      </c>
      <c r="AA90" s="59">
        <f>SUM(T90:Z90)</f>
        <v>12337</v>
      </c>
      <c r="AB90" s="58">
        <v>2024</v>
      </c>
      <c r="AC90" s="119"/>
      <c r="AD90" s="109"/>
    </row>
    <row r="91" spans="1:30" ht="48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259</v>
      </c>
      <c r="S91" s="153" t="s">
        <v>38</v>
      </c>
      <c r="T91" s="44">
        <v>4</v>
      </c>
      <c r="U91" s="44">
        <v>58</v>
      </c>
      <c r="V91" s="44">
        <v>0</v>
      </c>
      <c r="W91" s="44">
        <v>19</v>
      </c>
      <c r="X91" s="44">
        <v>8</v>
      </c>
      <c r="Y91" s="44">
        <v>8</v>
      </c>
      <c r="Z91" s="44">
        <v>8</v>
      </c>
      <c r="AA91" s="49">
        <f>SUM(T91:Z91)</f>
        <v>105</v>
      </c>
      <c r="AB91" s="41">
        <v>2024</v>
      </c>
      <c r="AC91" s="33"/>
    </row>
    <row r="92" spans="1:30" s="8" customFormat="1" ht="33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260</v>
      </c>
      <c r="S92" s="153" t="s">
        <v>38</v>
      </c>
      <c r="T92" s="44">
        <v>5</v>
      </c>
      <c r="U92" s="44">
        <v>5</v>
      </c>
      <c r="V92" s="44">
        <v>6</v>
      </c>
      <c r="W92" s="44">
        <v>6</v>
      </c>
      <c r="X92" s="44">
        <v>6</v>
      </c>
      <c r="Y92" s="44">
        <v>6</v>
      </c>
      <c r="Z92" s="44">
        <v>6</v>
      </c>
      <c r="AA92" s="49">
        <v>6</v>
      </c>
      <c r="AB92" s="41">
        <v>2024</v>
      </c>
      <c r="AC92" s="123"/>
      <c r="AD92" s="102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316</v>
      </c>
      <c r="S93" s="153" t="s">
        <v>38</v>
      </c>
      <c r="T93" s="44">
        <v>0</v>
      </c>
      <c r="U93" s="44">
        <v>16</v>
      </c>
      <c r="V93" s="44">
        <v>16</v>
      </c>
      <c r="W93" s="44">
        <v>30</v>
      </c>
      <c r="X93" s="44">
        <v>11</v>
      </c>
      <c r="Y93" s="44">
        <v>11</v>
      </c>
      <c r="Z93" s="44">
        <v>11</v>
      </c>
      <c r="AA93" s="49">
        <f>SUM(T93:Z93)</f>
        <v>95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21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1351.9-396.7-310.9-34</f>
        <v>610.30000000000007</v>
      </c>
      <c r="U94" s="1">
        <f>1750-198.6-29.9</f>
        <v>1521.5</v>
      </c>
      <c r="V94" s="1">
        <f>1749.6+553-113</f>
        <v>2189.6</v>
      </c>
      <c r="W94" s="1">
        <f>1500+1265.3</f>
        <v>2765.3</v>
      </c>
      <c r="X94" s="1">
        <f>1500-400-120</f>
        <v>980</v>
      </c>
      <c r="Y94" s="1">
        <v>1500</v>
      </c>
      <c r="Z94" s="1">
        <v>1500</v>
      </c>
      <c r="AA94" s="59">
        <f>SUM(T94:Z94)</f>
        <v>11066.7</v>
      </c>
      <c r="AB94" s="58">
        <v>2024</v>
      </c>
      <c r="AC94" s="119"/>
      <c r="AD94" s="102"/>
    </row>
    <row r="95" spans="1:30" ht="47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261</v>
      </c>
      <c r="S95" s="153" t="s">
        <v>38</v>
      </c>
      <c r="T95" s="2">
        <v>21</v>
      </c>
      <c r="U95" s="2">
        <v>95</v>
      </c>
      <c r="V95" s="2">
        <v>220</v>
      </c>
      <c r="W95" s="2">
        <v>90</v>
      </c>
      <c r="X95" s="2">
        <v>19</v>
      </c>
      <c r="Y95" s="2">
        <v>19</v>
      </c>
      <c r="Z95" s="2">
        <v>19</v>
      </c>
      <c r="AA95" s="49">
        <f>SUM(T95:Z95)</f>
        <v>483</v>
      </c>
      <c r="AB95" s="41">
        <v>2024</v>
      </c>
      <c r="AC95" s="123"/>
      <c r="AD95" s="102"/>
    </row>
    <row r="96" spans="1:30" ht="32.2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262</v>
      </c>
      <c r="S96" s="153" t="s">
        <v>38</v>
      </c>
      <c r="T96" s="2">
        <v>4</v>
      </c>
      <c r="U96" s="2">
        <v>5</v>
      </c>
      <c r="V96" s="2">
        <v>5</v>
      </c>
      <c r="W96" s="2">
        <v>4</v>
      </c>
      <c r="X96" s="2">
        <v>4</v>
      </c>
      <c r="Y96" s="2">
        <v>4</v>
      </c>
      <c r="Z96" s="2">
        <v>4</v>
      </c>
      <c r="AA96" s="45">
        <v>4</v>
      </c>
      <c r="AB96" s="41">
        <v>2024</v>
      </c>
      <c r="AC96" s="127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317</v>
      </c>
      <c r="S97" s="153" t="s">
        <v>38</v>
      </c>
      <c r="T97" s="44">
        <v>0</v>
      </c>
      <c r="U97" s="44">
        <v>16</v>
      </c>
      <c r="V97" s="44">
        <v>15</v>
      </c>
      <c r="W97" s="44">
        <v>12</v>
      </c>
      <c r="X97" s="44">
        <v>4</v>
      </c>
      <c r="Y97" s="44">
        <v>4</v>
      </c>
      <c r="Z97" s="44">
        <v>4</v>
      </c>
      <c r="AA97" s="49">
        <f>SUM(T97:Z97)</f>
        <v>55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25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101</v>
      </c>
      <c r="S98" s="55" t="s">
        <v>0</v>
      </c>
      <c r="T98" s="1">
        <f>4141.3-300-1489-672.7-86.2-669.2</f>
        <v>924.2</v>
      </c>
      <c r="U98" s="1">
        <f>2950-369.3-0.6-50-20-366-142.8</f>
        <v>2001.3</v>
      </c>
      <c r="V98" s="1">
        <f>2950+153.2-3.3-641.8</f>
        <v>2458.0999999999995</v>
      </c>
      <c r="W98" s="1">
        <f>1900-22+817.5-91-182</f>
        <v>2422.5</v>
      </c>
      <c r="X98" s="1">
        <f>1682.2-20.6</f>
        <v>1661.6000000000001</v>
      </c>
      <c r="Y98" s="1">
        <v>1900</v>
      </c>
      <c r="Z98" s="1">
        <v>1900</v>
      </c>
      <c r="AA98" s="59">
        <f>SUM(T98:Z98)</f>
        <v>13267.699999999999</v>
      </c>
      <c r="AB98" s="58">
        <v>2024</v>
      </c>
      <c r="AC98" s="120"/>
    </row>
    <row r="99" spans="1:31" ht="46.9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263</v>
      </c>
      <c r="S99" s="153" t="s">
        <v>38</v>
      </c>
      <c r="T99" s="44">
        <v>7</v>
      </c>
      <c r="U99" s="44">
        <v>7</v>
      </c>
      <c r="V99" s="44">
        <v>70</v>
      </c>
      <c r="W99" s="44">
        <v>0</v>
      </c>
      <c r="X99" s="44">
        <v>43</v>
      </c>
      <c r="Y99" s="44">
        <v>43</v>
      </c>
      <c r="Z99" s="44">
        <v>43</v>
      </c>
      <c r="AA99" s="49">
        <f>SUM(T99:Z99)</f>
        <v>213</v>
      </c>
      <c r="AB99" s="41">
        <v>2024</v>
      </c>
      <c r="AC99" s="33"/>
    </row>
    <row r="100" spans="1:31" ht="32.2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264</v>
      </c>
      <c r="S100" s="41" t="s">
        <v>38</v>
      </c>
      <c r="T100" s="44">
        <v>3</v>
      </c>
      <c r="U100" s="44">
        <v>2</v>
      </c>
      <c r="V100" s="44">
        <v>4</v>
      </c>
      <c r="W100" s="44">
        <v>4</v>
      </c>
      <c r="X100" s="44">
        <v>3</v>
      </c>
      <c r="Y100" s="44">
        <v>3</v>
      </c>
      <c r="Z100" s="44">
        <v>3</v>
      </c>
      <c r="AA100" s="49">
        <v>3</v>
      </c>
      <c r="AB100" s="41">
        <v>2024</v>
      </c>
      <c r="AC100" s="123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318</v>
      </c>
      <c r="S101" s="153" t="s">
        <v>38</v>
      </c>
      <c r="T101" s="44">
        <v>0</v>
      </c>
      <c r="U101" s="44">
        <v>15</v>
      </c>
      <c r="V101" s="44">
        <v>2</v>
      </c>
      <c r="W101" s="44">
        <v>2</v>
      </c>
      <c r="X101" s="44">
        <v>7</v>
      </c>
      <c r="Y101" s="44">
        <v>7</v>
      </c>
      <c r="Z101" s="44">
        <v>7</v>
      </c>
      <c r="AA101" s="49">
        <f>SUM(T101:Z101)</f>
        <v>40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19</v>
      </c>
      <c r="C102" s="54" t="s">
        <v>24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236-236+500-125.3</f>
        <v>374.7</v>
      </c>
      <c r="U102" s="1">
        <f>0+229+48-32</f>
        <v>245</v>
      </c>
      <c r="V102" s="1">
        <f>0+150-6.8</f>
        <v>143.19999999999999</v>
      </c>
      <c r="W102" s="1">
        <f>0+30</f>
        <v>30</v>
      </c>
      <c r="X102" s="1">
        <v>0</v>
      </c>
      <c r="Y102" s="1">
        <v>0</v>
      </c>
      <c r="Z102" s="1">
        <v>0</v>
      </c>
      <c r="AA102" s="59">
        <f>SUM(T102:Z102)</f>
        <v>792.90000000000009</v>
      </c>
      <c r="AB102" s="58">
        <v>2021</v>
      </c>
      <c r="AC102" s="123"/>
      <c r="AD102" s="102"/>
    </row>
    <row r="103" spans="1:31" ht="48.6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1" t="s">
        <v>321</v>
      </c>
      <c r="S103" s="153" t="s">
        <v>38</v>
      </c>
      <c r="T103" s="44">
        <v>25</v>
      </c>
      <c r="U103" s="2">
        <v>1</v>
      </c>
      <c r="V103" s="2">
        <v>16</v>
      </c>
      <c r="W103" s="2">
        <v>2</v>
      </c>
      <c r="X103" s="2">
        <v>0</v>
      </c>
      <c r="Y103" s="2">
        <v>0</v>
      </c>
      <c r="Z103" s="2">
        <v>0</v>
      </c>
      <c r="AA103" s="45">
        <f>SUM(T103:Z103)</f>
        <v>44</v>
      </c>
      <c r="AB103" s="41">
        <v>2021</v>
      </c>
      <c r="AC103" s="123"/>
      <c r="AD103" s="102"/>
    </row>
    <row r="104" spans="1:31" ht="31.5" x14ac:dyDescent="0.25">
      <c r="A104" s="54" t="s">
        <v>18</v>
      </c>
      <c r="B104" s="54" t="s">
        <v>19</v>
      </c>
      <c r="C104" s="54" t="s">
        <v>20</v>
      </c>
      <c r="D104" s="54" t="s">
        <v>18</v>
      </c>
      <c r="E104" s="54" t="s">
        <v>21</v>
      </c>
      <c r="F104" s="54" t="s">
        <v>18</v>
      </c>
      <c r="G104" s="54" t="s">
        <v>22</v>
      </c>
      <c r="H104" s="54" t="s">
        <v>19</v>
      </c>
      <c r="I104" s="54" t="s">
        <v>24</v>
      </c>
      <c r="J104" s="54" t="s">
        <v>18</v>
      </c>
      <c r="K104" s="54" t="s">
        <v>18</v>
      </c>
      <c r="L104" s="54" t="s">
        <v>19</v>
      </c>
      <c r="M104" s="54" t="s">
        <v>43</v>
      </c>
      <c r="N104" s="54" t="s">
        <v>43</v>
      </c>
      <c r="O104" s="54" t="s">
        <v>43</v>
      </c>
      <c r="P104" s="54" t="s">
        <v>43</v>
      </c>
      <c r="Q104" s="54" t="s">
        <v>43</v>
      </c>
      <c r="R104" s="151" t="s">
        <v>105</v>
      </c>
      <c r="S104" s="58" t="s">
        <v>0</v>
      </c>
      <c r="T104" s="59">
        <f>99204.4+25748.3-45-48-10</f>
        <v>124849.7</v>
      </c>
      <c r="U104" s="59">
        <f>98382.7+162290.6-3301.8</f>
        <v>257371.5</v>
      </c>
      <c r="V104" s="59">
        <f>180545.5-150-150-2115-100</f>
        <v>178030.5</v>
      </c>
      <c r="W104" s="59">
        <f>154888-50-70-100-600+13707.9-6323.8-4495.6-1358-2200</f>
        <v>153398.5</v>
      </c>
      <c r="X104" s="59">
        <f>132888-300+18037.2+15000</f>
        <v>165625.20000000001</v>
      </c>
      <c r="Y104" s="59">
        <f>135773.5-5244.9</f>
        <v>130528.6</v>
      </c>
      <c r="Z104" s="59">
        <f>135773.5-5244.9</f>
        <v>130528.6</v>
      </c>
      <c r="AA104" s="59">
        <f>SUM(T104:Z104)</f>
        <v>1140332.5999999999</v>
      </c>
      <c r="AB104" s="58">
        <v>2024</v>
      </c>
      <c r="AC104" s="119"/>
      <c r="AD104" s="102"/>
    </row>
    <row r="105" spans="1:31" ht="31.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106</v>
      </c>
      <c r="S105" s="153" t="s">
        <v>50</v>
      </c>
      <c r="T105" s="2">
        <v>21452</v>
      </c>
      <c r="U105" s="2">
        <v>21713</v>
      </c>
      <c r="V105" s="2">
        <v>21820</v>
      </c>
      <c r="W105" s="2">
        <v>22526</v>
      </c>
      <c r="X105" s="2">
        <v>22904</v>
      </c>
      <c r="Y105" s="2">
        <v>22904</v>
      </c>
      <c r="Z105" s="2">
        <v>22904</v>
      </c>
      <c r="AA105" s="49">
        <f>Y105</f>
        <v>22904</v>
      </c>
      <c r="AB105" s="41">
        <v>2024</v>
      </c>
      <c r="AC105" s="123"/>
      <c r="AD105" s="109"/>
      <c r="AE105" s="109"/>
    </row>
    <row r="106" spans="1:31" ht="46.9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107</v>
      </c>
      <c r="S106" s="153" t="s">
        <v>9</v>
      </c>
      <c r="T106" s="3">
        <v>95</v>
      </c>
      <c r="U106" s="3">
        <v>95</v>
      </c>
      <c r="V106" s="3">
        <v>95</v>
      </c>
      <c r="W106" s="3">
        <v>95</v>
      </c>
      <c r="X106" s="3">
        <v>95</v>
      </c>
      <c r="Y106" s="3">
        <v>95</v>
      </c>
      <c r="Z106" s="3">
        <v>95</v>
      </c>
      <c r="AA106" s="5">
        <v>95</v>
      </c>
      <c r="AB106" s="41">
        <v>2024</v>
      </c>
      <c r="AC106" s="33"/>
    </row>
    <row r="107" spans="1:31" ht="31.5" x14ac:dyDescent="0.25">
      <c r="A107" s="54"/>
      <c r="B107" s="54"/>
      <c r="C107" s="54"/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43</v>
      </c>
      <c r="N107" s="54" t="s">
        <v>43</v>
      </c>
      <c r="O107" s="54" t="s">
        <v>43</v>
      </c>
      <c r="P107" s="54" t="s">
        <v>43</v>
      </c>
      <c r="Q107" s="54" t="s">
        <v>43</v>
      </c>
      <c r="R107" s="68" t="s">
        <v>108</v>
      </c>
      <c r="S107" s="58" t="s">
        <v>0</v>
      </c>
      <c r="T107" s="59">
        <f t="shared" ref="T107:Y108" si="39">T109+T111+T113+T115</f>
        <v>1880.0999999999997</v>
      </c>
      <c r="U107" s="59">
        <f t="shared" si="39"/>
        <v>1976</v>
      </c>
      <c r="V107" s="59">
        <f t="shared" si="39"/>
        <v>1715.8</v>
      </c>
      <c r="W107" s="59">
        <f t="shared" si="39"/>
        <v>2672.1</v>
      </c>
      <c r="X107" s="59">
        <f t="shared" si="39"/>
        <v>2597.6999999999998</v>
      </c>
      <c r="Y107" s="59">
        <f t="shared" si="39"/>
        <v>2697.7</v>
      </c>
      <c r="Z107" s="59">
        <f t="shared" ref="Z107" si="40">Z109+Z111+Z113+Z115</f>
        <v>2697.7</v>
      </c>
      <c r="AA107" s="59">
        <f t="shared" ref="AA107:AA116" si="41">SUM(T107:Z107)</f>
        <v>16237.100000000002</v>
      </c>
      <c r="AB107" s="58">
        <v>2024</v>
      </c>
      <c r="AC107" s="120"/>
    </row>
    <row r="108" spans="1:31" ht="31.1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109</v>
      </c>
      <c r="S108" s="41" t="s">
        <v>38</v>
      </c>
      <c r="T108" s="44">
        <f t="shared" si="39"/>
        <v>61</v>
      </c>
      <c r="U108" s="44">
        <f t="shared" si="39"/>
        <v>147</v>
      </c>
      <c r="V108" s="44">
        <f t="shared" si="39"/>
        <v>255</v>
      </c>
      <c r="W108" s="44">
        <f t="shared" si="39"/>
        <v>311</v>
      </c>
      <c r="X108" s="44">
        <f t="shared" si="39"/>
        <v>392</v>
      </c>
      <c r="Y108" s="44">
        <f t="shared" si="39"/>
        <v>392</v>
      </c>
      <c r="Z108" s="44">
        <f t="shared" ref="Z108" si="42">Z110+Z112+Z114+Z116</f>
        <v>392</v>
      </c>
      <c r="AA108" s="49">
        <f t="shared" si="41"/>
        <v>1950</v>
      </c>
      <c r="AB108" s="41">
        <v>2024</v>
      </c>
      <c r="AC108" s="123"/>
      <c r="AD108" s="102"/>
    </row>
    <row r="109" spans="1:31" ht="31.5" x14ac:dyDescent="0.25">
      <c r="A109" s="54" t="s">
        <v>18</v>
      </c>
      <c r="B109" s="54" t="s">
        <v>18</v>
      </c>
      <c r="C109" s="54" t="s">
        <v>22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43</v>
      </c>
      <c r="N109" s="54" t="s">
        <v>43</v>
      </c>
      <c r="O109" s="54" t="s">
        <v>43</v>
      </c>
      <c r="P109" s="54" t="s">
        <v>43</v>
      </c>
      <c r="Q109" s="54" t="s">
        <v>43</v>
      </c>
      <c r="R109" s="69" t="s">
        <v>110</v>
      </c>
      <c r="S109" s="55" t="s">
        <v>0</v>
      </c>
      <c r="T109" s="1">
        <f>92-9.2+105.5-26.8</f>
        <v>161.5</v>
      </c>
      <c r="U109" s="1">
        <f>1092-122.4</f>
        <v>969.6</v>
      </c>
      <c r="V109" s="1">
        <f>1092-692</f>
        <v>400</v>
      </c>
      <c r="W109" s="1">
        <v>1092</v>
      </c>
      <c r="X109" s="1">
        <v>1092</v>
      </c>
      <c r="Y109" s="1">
        <v>1092</v>
      </c>
      <c r="Z109" s="1">
        <v>1092</v>
      </c>
      <c r="AA109" s="59">
        <f t="shared" si="41"/>
        <v>5899.1</v>
      </c>
      <c r="AB109" s="58">
        <v>2024</v>
      </c>
      <c r="AC109" s="120"/>
    </row>
    <row r="110" spans="1:31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74" t="s">
        <v>111</v>
      </c>
      <c r="S110" s="153" t="s">
        <v>38</v>
      </c>
      <c r="T110" s="44">
        <f>4+4</f>
        <v>8</v>
      </c>
      <c r="U110" s="44">
        <f>29+21</f>
        <v>50</v>
      </c>
      <c r="V110" s="44">
        <v>23</v>
      </c>
      <c r="W110" s="44">
        <v>54</v>
      </c>
      <c r="X110" s="44">
        <v>161</v>
      </c>
      <c r="Y110" s="44">
        <v>161</v>
      </c>
      <c r="Z110" s="44">
        <v>161</v>
      </c>
      <c r="AA110" s="49">
        <f t="shared" si="41"/>
        <v>618</v>
      </c>
      <c r="AB110" s="41">
        <v>2024</v>
      </c>
      <c r="AC110" s="127"/>
      <c r="AD110" s="109"/>
    </row>
    <row r="111" spans="1:31" ht="31.5" x14ac:dyDescent="0.25">
      <c r="A111" s="54" t="s">
        <v>18</v>
      </c>
      <c r="B111" s="54" t="s">
        <v>18</v>
      </c>
      <c r="C111" s="54" t="s">
        <v>24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43</v>
      </c>
      <c r="N111" s="54" t="s">
        <v>43</v>
      </c>
      <c r="O111" s="54" t="s">
        <v>43</v>
      </c>
      <c r="P111" s="54" t="s">
        <v>43</v>
      </c>
      <c r="Q111" s="54" t="s">
        <v>43</v>
      </c>
      <c r="R111" s="69" t="s">
        <v>110</v>
      </c>
      <c r="S111" s="55" t="s">
        <v>0</v>
      </c>
      <c r="T111" s="1">
        <f>1135.8-126-115.2-44.7</f>
        <v>849.89999999999986</v>
      </c>
      <c r="U111" s="1">
        <f>630.5-140-173</f>
        <v>317.5</v>
      </c>
      <c r="V111" s="1">
        <f>630.5-192.2</f>
        <v>438.3</v>
      </c>
      <c r="W111" s="1">
        <f>630.5+9.9</f>
        <v>640.4</v>
      </c>
      <c r="X111" s="1">
        <v>630.5</v>
      </c>
      <c r="Y111" s="1">
        <v>630.5</v>
      </c>
      <c r="Z111" s="1">
        <v>630.5</v>
      </c>
      <c r="AA111" s="59">
        <f t="shared" si="41"/>
        <v>4137.6000000000004</v>
      </c>
      <c r="AB111" s="58">
        <v>2024</v>
      </c>
      <c r="AC111" s="122"/>
      <c r="AD111" s="102"/>
    </row>
    <row r="112" spans="1:31" ht="47.2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112</v>
      </c>
      <c r="S112" s="153" t="s">
        <v>38</v>
      </c>
      <c r="T112" s="44">
        <v>26</v>
      </c>
      <c r="U112" s="44">
        <v>62</v>
      </c>
      <c r="V112" s="44">
        <v>56</v>
      </c>
      <c r="W112" s="44">
        <v>76</v>
      </c>
      <c r="X112" s="44">
        <v>20</v>
      </c>
      <c r="Y112" s="44">
        <v>20</v>
      </c>
      <c r="Z112" s="44">
        <v>20</v>
      </c>
      <c r="AA112" s="49">
        <f t="shared" si="41"/>
        <v>280</v>
      </c>
      <c r="AB112" s="41">
        <v>2024</v>
      </c>
      <c r="AC112" s="123"/>
      <c r="AD112" s="102"/>
    </row>
    <row r="113" spans="1:32" ht="31.5" x14ac:dyDescent="0.25">
      <c r="A113" s="54" t="s">
        <v>18</v>
      </c>
      <c r="B113" s="54" t="s">
        <v>18</v>
      </c>
      <c r="C113" s="54" t="s">
        <v>21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9" t="s">
        <v>110</v>
      </c>
      <c r="S113" s="55" t="s">
        <v>0</v>
      </c>
      <c r="T113" s="1">
        <f>429.2+396.7-107.5</f>
        <v>718.4</v>
      </c>
      <c r="U113" s="1">
        <f>475.2-36.3</f>
        <v>438.9</v>
      </c>
      <c r="V113" s="1">
        <v>475.7</v>
      </c>
      <c r="W113" s="1">
        <f>475.2-25.2</f>
        <v>450</v>
      </c>
      <c r="X113" s="1">
        <v>475.2</v>
      </c>
      <c r="Y113" s="1">
        <v>475.2</v>
      </c>
      <c r="Z113" s="1">
        <v>475.2</v>
      </c>
      <c r="AA113" s="59">
        <f t="shared" si="41"/>
        <v>3508.5999999999995</v>
      </c>
      <c r="AB113" s="58">
        <v>2024</v>
      </c>
      <c r="AC113" s="120"/>
    </row>
    <row r="114" spans="1:32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113</v>
      </c>
      <c r="S114" s="41" t="s">
        <v>38</v>
      </c>
      <c r="T114" s="44">
        <v>17</v>
      </c>
      <c r="U114" s="44">
        <v>17</v>
      </c>
      <c r="V114" s="44">
        <v>122</v>
      </c>
      <c r="W114" s="44">
        <v>132</v>
      </c>
      <c r="X114" s="44">
        <v>132</v>
      </c>
      <c r="Y114" s="44">
        <v>132</v>
      </c>
      <c r="Z114" s="44">
        <v>132</v>
      </c>
      <c r="AA114" s="49">
        <f t="shared" si="41"/>
        <v>684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25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114</v>
      </c>
      <c r="S115" s="55" t="s">
        <v>0</v>
      </c>
      <c r="T115" s="1">
        <f>153.3-3</f>
        <v>150.30000000000001</v>
      </c>
      <c r="U115" s="1">
        <f>200+50</f>
        <v>250</v>
      </c>
      <c r="V115" s="1">
        <f>500-101.5+3.3</f>
        <v>401.8</v>
      </c>
      <c r="W115" s="1">
        <f>500-10.3</f>
        <v>489.7</v>
      </c>
      <c r="X115" s="1">
        <v>400</v>
      </c>
      <c r="Y115" s="1">
        <v>500</v>
      </c>
      <c r="Z115" s="1">
        <v>500</v>
      </c>
      <c r="AA115" s="59">
        <f t="shared" si="41"/>
        <v>2691.8</v>
      </c>
      <c r="AB115" s="58">
        <v>2024</v>
      </c>
      <c r="AC115" s="33"/>
    </row>
    <row r="116" spans="1:32" ht="47.2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 t="s">
        <v>115</v>
      </c>
      <c r="S116" s="41" t="s">
        <v>38</v>
      </c>
      <c r="T116" s="44">
        <v>10</v>
      </c>
      <c r="U116" s="44">
        <v>18</v>
      </c>
      <c r="V116" s="44">
        <v>54</v>
      </c>
      <c r="W116" s="44">
        <v>49</v>
      </c>
      <c r="X116" s="44">
        <v>79</v>
      </c>
      <c r="Y116" s="44">
        <v>79</v>
      </c>
      <c r="Z116" s="44">
        <v>79</v>
      </c>
      <c r="AA116" s="49">
        <f t="shared" si="41"/>
        <v>368</v>
      </c>
      <c r="AB116" s="41">
        <v>2024</v>
      </c>
      <c r="AC116" s="33"/>
    </row>
    <row r="117" spans="1:32" ht="31.5" x14ac:dyDescent="0.25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151" t="s">
        <v>116</v>
      </c>
      <c r="S117" s="94" t="s">
        <v>0</v>
      </c>
      <c r="T117" s="59">
        <f>2300+20572-19997.4-439+45+48+203.1-4</f>
        <v>2727.6999999999985</v>
      </c>
      <c r="U117" s="59">
        <f>7300+715</f>
        <v>8015</v>
      </c>
      <c r="V117" s="59">
        <f>3500+2115-846.5</f>
        <v>4768.5</v>
      </c>
      <c r="W117" s="59">
        <f>5200-9.4-104</f>
        <v>5086.6000000000004</v>
      </c>
      <c r="X117" s="59">
        <f>4333.5+524.5</f>
        <v>4858</v>
      </c>
      <c r="Y117" s="59">
        <v>5200</v>
      </c>
      <c r="Z117" s="59">
        <v>5200</v>
      </c>
      <c r="AA117" s="59">
        <f>SUM(T117:Z117)</f>
        <v>35855.800000000003</v>
      </c>
      <c r="AB117" s="58">
        <v>2024</v>
      </c>
      <c r="AC117" s="123"/>
      <c r="AD117" s="109"/>
      <c r="AE117" s="109"/>
      <c r="AF117" s="109"/>
    </row>
    <row r="118" spans="1:32" s="72" customFormat="1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117</v>
      </c>
      <c r="S118" s="41" t="s">
        <v>50</v>
      </c>
      <c r="T118" s="2">
        <v>8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2">
        <v>10</v>
      </c>
      <c r="AA118" s="45">
        <v>10</v>
      </c>
      <c r="AB118" s="41">
        <v>2024</v>
      </c>
      <c r="AC118" s="33"/>
      <c r="AD118" s="102"/>
    </row>
    <row r="119" spans="1:32" ht="31.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1" t="s">
        <v>118</v>
      </c>
      <c r="S119" s="153" t="s">
        <v>50</v>
      </c>
      <c r="T119" s="2">
        <v>0</v>
      </c>
      <c r="U119" s="2">
        <v>649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45">
        <f>SUM(T119:Z119)</f>
        <v>649</v>
      </c>
      <c r="AB119" s="153">
        <v>2019</v>
      </c>
      <c r="AC119" s="33"/>
      <c r="AD119" s="102"/>
    </row>
    <row r="120" spans="1:32" s="72" customFormat="1" ht="31.5" x14ac:dyDescent="0.25">
      <c r="A120" s="54"/>
      <c r="B120" s="54"/>
      <c r="C120" s="54"/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43</v>
      </c>
      <c r="N120" s="54" t="s">
        <v>43</v>
      </c>
      <c r="O120" s="54" t="s">
        <v>43</v>
      </c>
      <c r="P120" s="54" t="s">
        <v>43</v>
      </c>
      <c r="Q120" s="54" t="s">
        <v>43</v>
      </c>
      <c r="R120" s="152" t="s">
        <v>119</v>
      </c>
      <c r="S120" s="58" t="s">
        <v>0</v>
      </c>
      <c r="T120" s="59">
        <f>102300-550-5000-1550.7+43.1+12-12</f>
        <v>95242.400000000009</v>
      </c>
      <c r="U120" s="59">
        <f>83000-4000+50</f>
        <v>79050</v>
      </c>
      <c r="V120" s="59">
        <f>89143.1+50</f>
        <v>89193.1</v>
      </c>
      <c r="W120" s="59">
        <f>W129+W123+W125</f>
        <v>90193.1</v>
      </c>
      <c r="X120" s="59">
        <f>X129+X123+X125</f>
        <v>96455.1</v>
      </c>
      <c r="Y120" s="59">
        <f>Y129+Y123+Y125</f>
        <v>104388</v>
      </c>
      <c r="Z120" s="59">
        <f>Z129+Z123+Z125</f>
        <v>104388</v>
      </c>
      <c r="AA120" s="59">
        <f>SUM(T120:Z120)</f>
        <v>658909.69999999995</v>
      </c>
      <c r="AB120" s="58">
        <v>2024</v>
      </c>
      <c r="AC120" s="33"/>
    </row>
    <row r="121" spans="1:32" s="72" customFormat="1" ht="31.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8" t="s">
        <v>372</v>
      </c>
      <c r="S121" s="41" t="s">
        <v>52</v>
      </c>
      <c r="T121" s="4">
        <v>3.7</v>
      </c>
      <c r="U121" s="4">
        <v>3.8</v>
      </c>
      <c r="V121" s="4">
        <v>3.7</v>
      </c>
      <c r="W121" s="4">
        <f>W130+W126</f>
        <v>3.7</v>
      </c>
      <c r="X121" s="4">
        <f>X130+X126</f>
        <v>3.9000000000000004</v>
      </c>
      <c r="Y121" s="4">
        <f>Y130+Y126</f>
        <v>3.9000000000000004</v>
      </c>
      <c r="Z121" s="4">
        <f>Z130+Z126</f>
        <v>3.9000000000000004</v>
      </c>
      <c r="AA121" s="6">
        <v>3.7</v>
      </c>
      <c r="AB121" s="41">
        <v>2024</v>
      </c>
      <c r="AC121" s="33"/>
    </row>
    <row r="122" spans="1:32" s="51" customFormat="1" ht="31.1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380</v>
      </c>
      <c r="S122" s="41" t="s">
        <v>52</v>
      </c>
      <c r="T122" s="3">
        <v>2557</v>
      </c>
      <c r="U122" s="3">
        <v>2220.9</v>
      </c>
      <c r="V122" s="3">
        <v>2165.9</v>
      </c>
      <c r="W122" s="3">
        <f>W135+W124+W128</f>
        <v>2189.1</v>
      </c>
      <c r="X122" s="3">
        <f>X135+X124+X128</f>
        <v>2184.4999999999995</v>
      </c>
      <c r="Y122" s="3">
        <f>Y135+Y124+Y128</f>
        <v>2235.7999999999997</v>
      </c>
      <c r="Z122" s="3">
        <f>Z135+Z124+Z128</f>
        <v>2235.7999999999997</v>
      </c>
      <c r="AA122" s="6">
        <f>Z122</f>
        <v>2235.7999999999997</v>
      </c>
      <c r="AB122" s="41">
        <v>2024</v>
      </c>
      <c r="AC122" s="33"/>
    </row>
    <row r="123" spans="1:32" s="72" customFormat="1" ht="31.5" x14ac:dyDescent="0.25">
      <c r="A123" s="54" t="s">
        <v>18</v>
      </c>
      <c r="B123" s="54" t="s">
        <v>18</v>
      </c>
      <c r="C123" s="54" t="s">
        <v>24</v>
      </c>
      <c r="D123" s="54" t="s">
        <v>18</v>
      </c>
      <c r="E123" s="54" t="s">
        <v>21</v>
      </c>
      <c r="F123" s="54" t="s">
        <v>18</v>
      </c>
      <c r="G123" s="54" t="s">
        <v>22</v>
      </c>
      <c r="H123" s="54" t="s">
        <v>19</v>
      </c>
      <c r="I123" s="54" t="s">
        <v>24</v>
      </c>
      <c r="J123" s="54" t="s">
        <v>18</v>
      </c>
      <c r="K123" s="54" t="s">
        <v>18</v>
      </c>
      <c r="L123" s="54" t="s">
        <v>19</v>
      </c>
      <c r="M123" s="54" t="s">
        <v>43</v>
      </c>
      <c r="N123" s="54" t="s">
        <v>43</v>
      </c>
      <c r="O123" s="54" t="s">
        <v>43</v>
      </c>
      <c r="P123" s="54" t="s">
        <v>43</v>
      </c>
      <c r="Q123" s="54" t="s">
        <v>43</v>
      </c>
      <c r="R123" s="152" t="s">
        <v>119</v>
      </c>
      <c r="S123" s="55" t="s">
        <v>0</v>
      </c>
      <c r="T123" s="1">
        <v>0</v>
      </c>
      <c r="U123" s="1">
        <v>0</v>
      </c>
      <c r="V123" s="1">
        <v>0</v>
      </c>
      <c r="W123" s="1">
        <v>0</v>
      </c>
      <c r="X123" s="1">
        <f>2266.5-1370.3</f>
        <v>896.2</v>
      </c>
      <c r="Y123" s="1">
        <v>2266.5</v>
      </c>
      <c r="Z123" s="1">
        <v>2266.5</v>
      </c>
      <c r="AA123" s="59">
        <f>SUM(T123:Z123)</f>
        <v>5429.2</v>
      </c>
      <c r="AB123" s="58">
        <v>2024</v>
      </c>
      <c r="AC123" s="33"/>
    </row>
    <row r="124" spans="1:32" s="51" customFormat="1" ht="47.25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0" t="s">
        <v>373</v>
      </c>
      <c r="S124" s="41" t="s">
        <v>52</v>
      </c>
      <c r="T124" s="3">
        <v>0</v>
      </c>
      <c r="U124" s="3">
        <v>0</v>
      </c>
      <c r="V124" s="3">
        <v>0</v>
      </c>
      <c r="W124" s="3">
        <v>0</v>
      </c>
      <c r="X124" s="3">
        <v>5.0999999999999996</v>
      </c>
      <c r="Y124" s="3">
        <v>33</v>
      </c>
      <c r="Z124" s="3">
        <v>33</v>
      </c>
      <c r="AA124" s="6">
        <f>SUM(T124:Z124)</f>
        <v>71.099999999999994</v>
      </c>
      <c r="AB124" s="41">
        <v>2024</v>
      </c>
      <c r="AC124" s="33"/>
    </row>
    <row r="125" spans="1:32" s="72" customFormat="1" ht="31.5" x14ac:dyDescent="0.25">
      <c r="A125" s="54" t="s">
        <v>18</v>
      </c>
      <c r="B125" s="54" t="s">
        <v>18</v>
      </c>
      <c r="C125" s="54" t="s">
        <v>21</v>
      </c>
      <c r="D125" s="54" t="s">
        <v>18</v>
      </c>
      <c r="E125" s="54" t="s">
        <v>21</v>
      </c>
      <c r="F125" s="54" t="s">
        <v>18</v>
      </c>
      <c r="G125" s="54" t="s">
        <v>22</v>
      </c>
      <c r="H125" s="54" t="s">
        <v>19</v>
      </c>
      <c r="I125" s="54" t="s">
        <v>24</v>
      </c>
      <c r="J125" s="54" t="s">
        <v>18</v>
      </c>
      <c r="K125" s="54" t="s">
        <v>18</v>
      </c>
      <c r="L125" s="54" t="s">
        <v>19</v>
      </c>
      <c r="M125" s="54" t="s">
        <v>43</v>
      </c>
      <c r="N125" s="54" t="s">
        <v>43</v>
      </c>
      <c r="O125" s="54" t="s">
        <v>43</v>
      </c>
      <c r="P125" s="54" t="s">
        <v>43</v>
      </c>
      <c r="Q125" s="54" t="s">
        <v>43</v>
      </c>
      <c r="R125" s="152" t="s">
        <v>119</v>
      </c>
      <c r="S125" s="55" t="s">
        <v>0</v>
      </c>
      <c r="T125" s="1">
        <v>0</v>
      </c>
      <c r="U125" s="1">
        <v>0</v>
      </c>
      <c r="V125" s="1">
        <v>0</v>
      </c>
      <c r="W125" s="1">
        <v>0</v>
      </c>
      <c r="X125" s="1">
        <f>2978.4-622.1</f>
        <v>2356.3000000000002</v>
      </c>
      <c r="Y125" s="1">
        <v>2978.4</v>
      </c>
      <c r="Z125" s="1">
        <v>2978.4</v>
      </c>
      <c r="AA125" s="59">
        <f>SUM(T125:Z125)</f>
        <v>8313.1</v>
      </c>
      <c r="AB125" s="58">
        <v>2024</v>
      </c>
      <c r="AC125" s="33"/>
    </row>
    <row r="126" spans="1:32" s="72" customFormat="1" ht="47.2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8" t="s">
        <v>374</v>
      </c>
      <c r="S126" s="41" t="s">
        <v>52</v>
      </c>
      <c r="T126" s="3">
        <v>0</v>
      </c>
      <c r="U126" s="3">
        <v>0</v>
      </c>
      <c r="V126" s="3">
        <v>0</v>
      </c>
      <c r="W126" s="3">
        <v>0</v>
      </c>
      <c r="X126" s="4">
        <v>0.2</v>
      </c>
      <c r="Y126" s="4">
        <v>0.2</v>
      </c>
      <c r="Z126" s="4">
        <v>0.2</v>
      </c>
      <c r="AA126" s="6">
        <f>X126</f>
        <v>0.2</v>
      </c>
      <c r="AB126" s="41">
        <v>2024</v>
      </c>
      <c r="AC126" s="33"/>
    </row>
    <row r="127" spans="1:32" s="51" customFormat="1" ht="47.25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61" t="s">
        <v>375</v>
      </c>
      <c r="S127" s="153" t="s">
        <v>34</v>
      </c>
      <c r="T127" s="3">
        <v>0</v>
      </c>
      <c r="U127" s="3">
        <v>0</v>
      </c>
      <c r="V127" s="3">
        <v>0</v>
      </c>
      <c r="W127" s="3">
        <v>0</v>
      </c>
      <c r="X127" s="3">
        <v>50</v>
      </c>
      <c r="Y127" s="3">
        <v>50</v>
      </c>
      <c r="Z127" s="3">
        <v>50</v>
      </c>
      <c r="AA127" s="6">
        <f t="shared" ref="AA127:AA128" si="43">X127</f>
        <v>50</v>
      </c>
      <c r="AB127" s="41">
        <v>2024</v>
      </c>
      <c r="AC127" s="123"/>
      <c r="AD127" s="102"/>
    </row>
    <row r="128" spans="1:32" s="51" customFormat="1" ht="47.25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 t="s">
        <v>376</v>
      </c>
      <c r="S128" s="41" t="s">
        <v>52</v>
      </c>
      <c r="T128" s="3">
        <v>0</v>
      </c>
      <c r="U128" s="3">
        <v>0</v>
      </c>
      <c r="V128" s="3">
        <v>0</v>
      </c>
      <c r="W128" s="3">
        <v>0</v>
      </c>
      <c r="X128" s="3">
        <v>11.2</v>
      </c>
      <c r="Y128" s="3">
        <v>34.6</v>
      </c>
      <c r="Z128" s="3">
        <v>34.6</v>
      </c>
      <c r="AA128" s="6">
        <f t="shared" si="43"/>
        <v>11.2</v>
      </c>
      <c r="AB128" s="41">
        <v>2024</v>
      </c>
      <c r="AC128" s="33"/>
    </row>
    <row r="129" spans="1:32" s="72" customFormat="1" ht="31.5" x14ac:dyDescent="0.25">
      <c r="A129" s="54" t="s">
        <v>18</v>
      </c>
      <c r="B129" s="54" t="s">
        <v>19</v>
      </c>
      <c r="C129" s="54" t="s">
        <v>20</v>
      </c>
      <c r="D129" s="54" t="s">
        <v>18</v>
      </c>
      <c r="E129" s="54" t="s">
        <v>21</v>
      </c>
      <c r="F129" s="54" t="s">
        <v>18</v>
      </c>
      <c r="G129" s="54" t="s">
        <v>22</v>
      </c>
      <c r="H129" s="54" t="s">
        <v>19</v>
      </c>
      <c r="I129" s="54" t="s">
        <v>24</v>
      </c>
      <c r="J129" s="54" t="s">
        <v>18</v>
      </c>
      <c r="K129" s="54" t="s">
        <v>18</v>
      </c>
      <c r="L129" s="54" t="s">
        <v>19</v>
      </c>
      <c r="M129" s="54" t="s">
        <v>43</v>
      </c>
      <c r="N129" s="54" t="s">
        <v>43</v>
      </c>
      <c r="O129" s="54" t="s">
        <v>43</v>
      </c>
      <c r="P129" s="54" t="s">
        <v>43</v>
      </c>
      <c r="Q129" s="54" t="s">
        <v>43</v>
      </c>
      <c r="R129" s="152" t="s">
        <v>119</v>
      </c>
      <c r="S129" s="55" t="s">
        <v>0</v>
      </c>
      <c r="T129" s="1">
        <f>102300-550-5000-1550.7+43.1+12-12</f>
        <v>95242.400000000009</v>
      </c>
      <c r="U129" s="1">
        <f>83000-4000+50</f>
        <v>79050</v>
      </c>
      <c r="V129" s="1">
        <f>89143.1+50</f>
        <v>89193.1</v>
      </c>
      <c r="W129" s="1">
        <f>89143.1+50+1000</f>
        <v>90193.1</v>
      </c>
      <c r="X129" s="1">
        <v>93202.6</v>
      </c>
      <c r="Y129" s="1">
        <v>99143.1</v>
      </c>
      <c r="Z129" s="1">
        <v>99143.1</v>
      </c>
      <c r="AA129" s="59">
        <f>SUM(T129:Z129)</f>
        <v>645167.39999999991</v>
      </c>
      <c r="AB129" s="58">
        <v>2024</v>
      </c>
      <c r="AC129" s="33"/>
    </row>
    <row r="130" spans="1:32" s="72" customFormat="1" ht="47.25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8" t="s">
        <v>383</v>
      </c>
      <c r="S130" s="41" t="s">
        <v>52</v>
      </c>
      <c r="T130" s="4">
        <v>3.7</v>
      </c>
      <c r="U130" s="4">
        <v>3.8</v>
      </c>
      <c r="V130" s="4">
        <v>3.7</v>
      </c>
      <c r="W130" s="4">
        <v>3.7</v>
      </c>
      <c r="X130" s="4">
        <v>3.7</v>
      </c>
      <c r="Y130" s="4">
        <v>3.7</v>
      </c>
      <c r="Z130" s="4">
        <v>3.7</v>
      </c>
      <c r="AA130" s="6">
        <v>3.7</v>
      </c>
      <c r="AB130" s="41">
        <v>2024</v>
      </c>
      <c r="AC130" s="33"/>
    </row>
    <row r="131" spans="1:32" ht="47.25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40" t="s">
        <v>381</v>
      </c>
      <c r="S131" s="41" t="s">
        <v>50</v>
      </c>
      <c r="T131" s="44">
        <v>87</v>
      </c>
      <c r="U131" s="44">
        <v>74</v>
      </c>
      <c r="V131" s="44">
        <v>74</v>
      </c>
      <c r="W131" s="44">
        <v>70</v>
      </c>
      <c r="X131" s="44">
        <v>70</v>
      </c>
      <c r="Y131" s="44">
        <v>70</v>
      </c>
      <c r="Z131" s="44">
        <v>70</v>
      </c>
      <c r="AA131" s="49">
        <v>74</v>
      </c>
      <c r="AB131" s="41">
        <v>2024</v>
      </c>
      <c r="AC131" s="123"/>
      <c r="AD131" s="102"/>
    </row>
    <row r="132" spans="1:32" ht="47.4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377</v>
      </c>
      <c r="S132" s="153" t="s">
        <v>50</v>
      </c>
      <c r="T132" s="2">
        <v>2400</v>
      </c>
      <c r="U132" s="44">
        <v>2400</v>
      </c>
      <c r="V132" s="44">
        <v>4059</v>
      </c>
      <c r="W132" s="44">
        <v>3100</v>
      </c>
      <c r="X132" s="44">
        <v>3513</v>
      </c>
      <c r="Y132" s="44">
        <v>3513</v>
      </c>
      <c r="Z132" s="44">
        <v>3100</v>
      </c>
      <c r="AA132" s="49">
        <f>SUM(T132:Z132)</f>
        <v>22085</v>
      </c>
      <c r="AB132" s="41">
        <v>2024</v>
      </c>
      <c r="AC132" s="123"/>
      <c r="AD132" s="102"/>
    </row>
    <row r="133" spans="1:32" ht="47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1" t="s">
        <v>378</v>
      </c>
      <c r="S133" s="153" t="s">
        <v>32</v>
      </c>
      <c r="T133" s="4">
        <v>12100</v>
      </c>
      <c r="U133" s="3">
        <v>11300</v>
      </c>
      <c r="V133" s="3">
        <v>16000</v>
      </c>
      <c r="W133" s="3">
        <v>13499</v>
      </c>
      <c r="X133" s="3">
        <v>13000</v>
      </c>
      <c r="Y133" s="3">
        <v>13000</v>
      </c>
      <c r="Z133" s="3">
        <v>13499</v>
      </c>
      <c r="AA133" s="49">
        <f t="shared" ref="AA133:AA134" si="44">SUM(T133:Z133)</f>
        <v>92398</v>
      </c>
      <c r="AB133" s="41">
        <v>2024</v>
      </c>
      <c r="AC133" s="123"/>
      <c r="AD133" s="102"/>
    </row>
    <row r="134" spans="1:32" s="51" customFormat="1" ht="47.25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61" t="s">
        <v>382</v>
      </c>
      <c r="S134" s="153" t="s">
        <v>34</v>
      </c>
      <c r="T134" s="4">
        <v>8969</v>
      </c>
      <c r="U134" s="3">
        <v>9945</v>
      </c>
      <c r="V134" s="3">
        <v>10275</v>
      </c>
      <c r="W134" s="3">
        <v>10690</v>
      </c>
      <c r="X134" s="3">
        <v>10883</v>
      </c>
      <c r="Y134" s="3">
        <v>10883</v>
      </c>
      <c r="Z134" s="3">
        <v>12053</v>
      </c>
      <c r="AA134" s="49">
        <f t="shared" si="44"/>
        <v>73698</v>
      </c>
      <c r="AB134" s="41">
        <v>2024</v>
      </c>
      <c r="AC134" s="123"/>
      <c r="AD134" s="102"/>
    </row>
    <row r="135" spans="1:32" s="51" customFormat="1" ht="47.25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40" t="s">
        <v>384</v>
      </c>
      <c r="S135" s="41" t="s">
        <v>52</v>
      </c>
      <c r="T135" s="3">
        <v>2557</v>
      </c>
      <c r="U135" s="3">
        <v>2220.9</v>
      </c>
      <c r="V135" s="3">
        <v>2165.9</v>
      </c>
      <c r="W135" s="3">
        <v>2189.1</v>
      </c>
      <c r="X135" s="3">
        <v>2168.1999999999998</v>
      </c>
      <c r="Y135" s="3">
        <v>2168.1999999999998</v>
      </c>
      <c r="Z135" s="3">
        <v>2168.1999999999998</v>
      </c>
      <c r="AA135" s="6">
        <f>Z135</f>
        <v>2168.1999999999998</v>
      </c>
      <c r="AB135" s="41">
        <v>2024</v>
      </c>
      <c r="AC135" s="33"/>
    </row>
    <row r="136" spans="1:32" ht="63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48" t="s">
        <v>379</v>
      </c>
      <c r="S136" s="41" t="s">
        <v>36</v>
      </c>
      <c r="T136" s="44">
        <v>247</v>
      </c>
      <c r="U136" s="44">
        <v>247</v>
      </c>
      <c r="V136" s="44">
        <v>249</v>
      </c>
      <c r="W136" s="44">
        <v>247</v>
      </c>
      <c r="X136" s="44">
        <v>247</v>
      </c>
      <c r="Y136" s="44">
        <v>247</v>
      </c>
      <c r="Z136" s="44">
        <v>247</v>
      </c>
      <c r="AA136" s="49">
        <f>SUM(T136:Z136)</f>
        <v>1731</v>
      </c>
      <c r="AB136" s="41">
        <v>2024</v>
      </c>
      <c r="AC136" s="33"/>
    </row>
    <row r="137" spans="1:32" ht="31.5" x14ac:dyDescent="0.25">
      <c r="A137" s="54" t="s">
        <v>18</v>
      </c>
      <c r="B137" s="54" t="s">
        <v>19</v>
      </c>
      <c r="C137" s="54" t="s">
        <v>24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18</v>
      </c>
      <c r="L137" s="54" t="s">
        <v>19</v>
      </c>
      <c r="M137" s="54" t="s">
        <v>43</v>
      </c>
      <c r="N137" s="54" t="s">
        <v>43</v>
      </c>
      <c r="O137" s="54" t="s">
        <v>43</v>
      </c>
      <c r="P137" s="54" t="s">
        <v>43</v>
      </c>
      <c r="Q137" s="54" t="s">
        <v>43</v>
      </c>
      <c r="R137" s="68" t="s">
        <v>120</v>
      </c>
      <c r="S137" s="94" t="s">
        <v>0</v>
      </c>
      <c r="T137" s="59">
        <f>0+236</f>
        <v>236</v>
      </c>
      <c r="U137" s="59">
        <f>1036-229-48-141.6</f>
        <v>617.4</v>
      </c>
      <c r="V137" s="59">
        <f>1036-150-281.7-227.2</f>
        <v>377.09999999999997</v>
      </c>
      <c r="W137" s="59">
        <f>886-30-328.2</f>
        <v>527.79999999999995</v>
      </c>
      <c r="X137" s="59">
        <v>886</v>
      </c>
      <c r="Y137" s="59">
        <v>886</v>
      </c>
      <c r="Z137" s="59">
        <v>886</v>
      </c>
      <c r="AA137" s="59">
        <f>SUM(T137:Z137)</f>
        <v>4416.3</v>
      </c>
      <c r="AB137" s="58">
        <v>2024</v>
      </c>
      <c r="AC137" s="33"/>
    </row>
    <row r="138" spans="1:32" ht="30.6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121</v>
      </c>
      <c r="S138" s="153" t="s">
        <v>50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49">
        <f>SUM(U138:Z138)</f>
        <v>1</v>
      </c>
      <c r="AB138" s="41">
        <v>2019</v>
      </c>
      <c r="AC138" s="123"/>
      <c r="AD138" s="109"/>
      <c r="AE138" s="109"/>
      <c r="AF138" s="109"/>
    </row>
    <row r="139" spans="1:32" ht="31.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171</v>
      </c>
      <c r="S139" s="153" t="s">
        <v>50</v>
      </c>
      <c r="T139" s="2">
        <v>3</v>
      </c>
      <c r="U139" s="2">
        <f>5-1</f>
        <v>4</v>
      </c>
      <c r="V139" s="2">
        <f t="shared" ref="V139:Z139" si="45">5-1</f>
        <v>4</v>
      </c>
      <c r="W139" s="2">
        <f t="shared" si="45"/>
        <v>4</v>
      </c>
      <c r="X139" s="2">
        <f t="shared" si="45"/>
        <v>4</v>
      </c>
      <c r="Y139" s="2">
        <f t="shared" si="45"/>
        <v>4</v>
      </c>
      <c r="Z139" s="2">
        <f t="shared" si="45"/>
        <v>4</v>
      </c>
      <c r="AA139" s="49">
        <v>4</v>
      </c>
      <c r="AB139" s="41">
        <v>2024</v>
      </c>
      <c r="AC139" s="33"/>
      <c r="AD139" s="109"/>
      <c r="AE139" s="109"/>
      <c r="AF139" s="109"/>
    </row>
    <row r="140" spans="1:32" ht="31.5" x14ac:dyDescent="0.25">
      <c r="A140" s="54" t="s">
        <v>18</v>
      </c>
      <c r="B140" s="54" t="s">
        <v>19</v>
      </c>
      <c r="C140" s="54" t="s">
        <v>20</v>
      </c>
      <c r="D140" s="54" t="s">
        <v>18</v>
      </c>
      <c r="E140" s="54" t="s">
        <v>21</v>
      </c>
      <c r="F140" s="54" t="s">
        <v>18</v>
      </c>
      <c r="G140" s="54" t="s">
        <v>22</v>
      </c>
      <c r="H140" s="54" t="s">
        <v>19</v>
      </c>
      <c r="I140" s="54" t="s">
        <v>24</v>
      </c>
      <c r="J140" s="54" t="s">
        <v>18</v>
      </c>
      <c r="K140" s="54" t="s">
        <v>18</v>
      </c>
      <c r="L140" s="54" t="s">
        <v>19</v>
      </c>
      <c r="M140" s="54" t="s">
        <v>43</v>
      </c>
      <c r="N140" s="54" t="s">
        <v>43</v>
      </c>
      <c r="O140" s="54" t="s">
        <v>43</v>
      </c>
      <c r="P140" s="54" t="s">
        <v>43</v>
      </c>
      <c r="Q140" s="54" t="s">
        <v>43</v>
      </c>
      <c r="R140" s="68" t="s">
        <v>166</v>
      </c>
      <c r="S140" s="94" t="s">
        <v>0</v>
      </c>
      <c r="T140" s="59">
        <f>0+550+1550.7</f>
        <v>2100.6999999999998</v>
      </c>
      <c r="U140" s="59">
        <f>0+4000</f>
        <v>4000</v>
      </c>
      <c r="V140" s="59">
        <f>0</f>
        <v>0</v>
      </c>
      <c r="W140" s="59">
        <f>0</f>
        <v>0</v>
      </c>
      <c r="X140" s="59">
        <f>3179.1+3307.4</f>
        <v>6486.5</v>
      </c>
      <c r="Y140" s="59">
        <f>0</f>
        <v>0</v>
      </c>
      <c r="Z140" s="59">
        <f>0</f>
        <v>0</v>
      </c>
      <c r="AA140" s="59">
        <f>SUM(T140:Z140)</f>
        <v>12587.2</v>
      </c>
      <c r="AB140" s="58">
        <v>2022</v>
      </c>
      <c r="AC140" s="33"/>
    </row>
    <row r="141" spans="1:32" ht="30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61" t="s">
        <v>165</v>
      </c>
      <c r="S141" s="153" t="s">
        <v>38</v>
      </c>
      <c r="T141" s="2">
        <v>2</v>
      </c>
      <c r="U141" s="2">
        <v>1</v>
      </c>
      <c r="V141" s="2">
        <v>0</v>
      </c>
      <c r="W141" s="2">
        <v>0</v>
      </c>
      <c r="X141" s="2">
        <v>4</v>
      </c>
      <c r="Y141" s="2">
        <v>0</v>
      </c>
      <c r="Z141" s="2">
        <v>0</v>
      </c>
      <c r="AA141" s="49">
        <f>SUM(T141:Z141)</f>
        <v>7</v>
      </c>
      <c r="AB141" s="41">
        <v>2022</v>
      </c>
      <c r="AC141" s="123"/>
      <c r="AD141" s="109"/>
      <c r="AE141" s="109"/>
      <c r="AF141" s="109"/>
    </row>
    <row r="142" spans="1:32" ht="15.6" customHeight="1" x14ac:dyDescent="0.25">
      <c r="A142" s="54"/>
      <c r="B142" s="54"/>
      <c r="C142" s="54"/>
      <c r="D142" s="54" t="s">
        <v>18</v>
      </c>
      <c r="E142" s="54" t="s">
        <v>21</v>
      </c>
      <c r="F142" s="54" t="s">
        <v>18</v>
      </c>
      <c r="G142" s="54" t="s">
        <v>22</v>
      </c>
      <c r="H142" s="54" t="s">
        <v>19</v>
      </c>
      <c r="I142" s="54" t="s">
        <v>24</v>
      </c>
      <c r="J142" s="54" t="s">
        <v>18</v>
      </c>
      <c r="K142" s="54" t="s">
        <v>257</v>
      </c>
      <c r="L142" s="54" t="s">
        <v>20</v>
      </c>
      <c r="M142" s="54" t="s">
        <v>18</v>
      </c>
      <c r="N142" s="54" t="s">
        <v>18</v>
      </c>
      <c r="O142" s="54" t="s">
        <v>18</v>
      </c>
      <c r="P142" s="54" t="s">
        <v>18</v>
      </c>
      <c r="Q142" s="54" t="s">
        <v>18</v>
      </c>
      <c r="R142" s="159" t="s">
        <v>278</v>
      </c>
      <c r="S142" s="184" t="s">
        <v>0</v>
      </c>
      <c r="T142" s="59">
        <v>0</v>
      </c>
      <c r="U142" s="59">
        <f>SUM(U143:U146)</f>
        <v>116632.7</v>
      </c>
      <c r="V142" s="59">
        <f>V144+V143+V145+V146+V147</f>
        <v>125649.7</v>
      </c>
      <c r="W142" s="59">
        <f>SUM(W143:W146)</f>
        <v>80922.399999999994</v>
      </c>
      <c r="X142" s="59">
        <f>X144+X146</f>
        <v>80608</v>
      </c>
      <c r="Y142" s="59">
        <f t="shared" ref="Y142:Z142" si="46">Y144</f>
        <v>5000</v>
      </c>
      <c r="Z142" s="59">
        <f t="shared" si="46"/>
        <v>5000</v>
      </c>
      <c r="AA142" s="59">
        <f>SUM(T142:Z142)</f>
        <v>413812.8</v>
      </c>
      <c r="AB142" s="58">
        <v>2024</v>
      </c>
      <c r="AD142" s="104"/>
      <c r="AE142" s="104"/>
    </row>
    <row r="143" spans="1:32" hidden="1" x14ac:dyDescent="0.25">
      <c r="A143" s="54" t="s">
        <v>18</v>
      </c>
      <c r="B143" s="54" t="s">
        <v>19</v>
      </c>
      <c r="C143" s="54" t="s">
        <v>20</v>
      </c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257</v>
      </c>
      <c r="L143" s="54" t="s">
        <v>20</v>
      </c>
      <c r="M143" s="54" t="s">
        <v>21</v>
      </c>
      <c r="N143" s="54" t="s">
        <v>21</v>
      </c>
      <c r="O143" s="54" t="s">
        <v>21</v>
      </c>
      <c r="P143" s="54" t="s">
        <v>21</v>
      </c>
      <c r="Q143" s="54" t="s">
        <v>19</v>
      </c>
      <c r="R143" s="160"/>
      <c r="S143" s="185"/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59">
        <f>SUM(T143:Z143)</f>
        <v>0</v>
      </c>
      <c r="AB143" s="58">
        <v>2024</v>
      </c>
      <c r="AD143" s="104"/>
      <c r="AE143" s="104"/>
    </row>
    <row r="144" spans="1:32" x14ac:dyDescent="0.25">
      <c r="A144" s="54" t="s">
        <v>18</v>
      </c>
      <c r="B144" s="54" t="s">
        <v>24</v>
      </c>
      <c r="C144" s="54" t="s">
        <v>22</v>
      </c>
      <c r="D144" s="54" t="s">
        <v>18</v>
      </c>
      <c r="E144" s="54" t="s">
        <v>21</v>
      </c>
      <c r="F144" s="54" t="s">
        <v>18</v>
      </c>
      <c r="G144" s="54" t="s">
        <v>22</v>
      </c>
      <c r="H144" s="54" t="s">
        <v>19</v>
      </c>
      <c r="I144" s="54" t="s">
        <v>24</v>
      </c>
      <c r="J144" s="54" t="s">
        <v>18</v>
      </c>
      <c r="K144" s="54" t="s">
        <v>257</v>
      </c>
      <c r="L144" s="54" t="s">
        <v>20</v>
      </c>
      <c r="M144" s="54" t="s">
        <v>21</v>
      </c>
      <c r="N144" s="54" t="s">
        <v>21</v>
      </c>
      <c r="O144" s="54" t="s">
        <v>21</v>
      </c>
      <c r="P144" s="54" t="s">
        <v>21</v>
      </c>
      <c r="Q144" s="54" t="s">
        <v>19</v>
      </c>
      <c r="R144" s="160"/>
      <c r="S144" s="185"/>
      <c r="T144" s="1">
        <v>0</v>
      </c>
      <c r="U144" s="1">
        <f>115690</f>
        <v>115690</v>
      </c>
      <c r="V144" s="1">
        <v>112612.2</v>
      </c>
      <c r="W144" s="1">
        <f>77969.8+435.9</f>
        <v>78405.7</v>
      </c>
      <c r="X144" s="1">
        <v>74023.7</v>
      </c>
      <c r="Y144" s="1">
        <v>5000</v>
      </c>
      <c r="Z144" s="1">
        <v>5000</v>
      </c>
      <c r="AA144" s="59">
        <f t="shared" ref="AA144:AA146" si="47">SUM(T144:Z144)</f>
        <v>390731.60000000003</v>
      </c>
      <c r="AB144" s="58">
        <v>2024</v>
      </c>
      <c r="AD144" s="104"/>
      <c r="AE144" s="104"/>
    </row>
    <row r="145" spans="1:31" ht="15.6" hidden="1" customHeight="1" x14ac:dyDescent="0.25">
      <c r="A145" s="54" t="s">
        <v>18</v>
      </c>
      <c r="B145" s="54" t="s">
        <v>19</v>
      </c>
      <c r="C145" s="54" t="s">
        <v>20</v>
      </c>
      <c r="D145" s="54" t="s">
        <v>18</v>
      </c>
      <c r="E145" s="54" t="s">
        <v>21</v>
      </c>
      <c r="F145" s="54" t="s">
        <v>18</v>
      </c>
      <c r="G145" s="54" t="s">
        <v>22</v>
      </c>
      <c r="H145" s="54" t="s">
        <v>19</v>
      </c>
      <c r="I145" s="54" t="s">
        <v>24</v>
      </c>
      <c r="J145" s="54" t="s">
        <v>18</v>
      </c>
      <c r="K145" s="54" t="s">
        <v>18</v>
      </c>
      <c r="L145" s="54" t="s">
        <v>19</v>
      </c>
      <c r="M145" s="54" t="s">
        <v>43</v>
      </c>
      <c r="N145" s="54" t="s">
        <v>43</v>
      </c>
      <c r="O145" s="54" t="s">
        <v>43</v>
      </c>
      <c r="P145" s="54" t="s">
        <v>43</v>
      </c>
      <c r="Q145" s="54" t="s">
        <v>43</v>
      </c>
      <c r="R145" s="160"/>
      <c r="S145" s="185"/>
      <c r="T145" s="1">
        <v>0</v>
      </c>
      <c r="U145" s="1">
        <f>840+131.2-50-921.2</f>
        <v>0</v>
      </c>
      <c r="V145" s="1">
        <f>150+100+100-350</f>
        <v>0</v>
      </c>
      <c r="W145" s="1">
        <v>0</v>
      </c>
      <c r="X145" s="1">
        <v>0</v>
      </c>
      <c r="Y145" s="1">
        <v>0</v>
      </c>
      <c r="Z145" s="1">
        <v>0</v>
      </c>
      <c r="AA145" s="59">
        <f t="shared" ref="AA145" si="48">SUM(T145:Z145)</f>
        <v>0</v>
      </c>
      <c r="AB145" s="58">
        <v>2020</v>
      </c>
      <c r="AD145" s="104"/>
      <c r="AE145" s="104"/>
    </row>
    <row r="146" spans="1:31" x14ac:dyDescent="0.25">
      <c r="A146" s="54" t="s">
        <v>18</v>
      </c>
      <c r="B146" s="54" t="s">
        <v>24</v>
      </c>
      <c r="C146" s="54" t="s">
        <v>22</v>
      </c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257</v>
      </c>
      <c r="L146" s="54" t="s">
        <v>20</v>
      </c>
      <c r="M146" s="54" t="s">
        <v>18</v>
      </c>
      <c r="N146" s="54" t="s">
        <v>18</v>
      </c>
      <c r="O146" s="54" t="s">
        <v>21</v>
      </c>
      <c r="P146" s="54" t="s">
        <v>21</v>
      </c>
      <c r="Q146" s="54" t="s">
        <v>19</v>
      </c>
      <c r="R146" s="160"/>
      <c r="S146" s="185"/>
      <c r="T146" s="1">
        <v>0</v>
      </c>
      <c r="U146" s="1">
        <f>2865.5-1232.8-690</f>
        <v>942.7</v>
      </c>
      <c r="V146" s="1">
        <v>4437.5</v>
      </c>
      <c r="W146" s="1">
        <f>4265.6-1748.9</f>
        <v>2516.7000000000003</v>
      </c>
      <c r="X146" s="1">
        <v>6584.3</v>
      </c>
      <c r="Y146" s="1">
        <v>0</v>
      </c>
      <c r="Z146" s="1">
        <v>0</v>
      </c>
      <c r="AA146" s="59">
        <f t="shared" si="47"/>
        <v>14481.2</v>
      </c>
      <c r="AB146" s="58">
        <v>2022</v>
      </c>
      <c r="AD146" s="104"/>
      <c r="AE146" s="104"/>
    </row>
    <row r="147" spans="1:31" x14ac:dyDescent="0.25">
      <c r="A147" s="54" t="s">
        <v>18</v>
      </c>
      <c r="B147" s="54" t="s">
        <v>24</v>
      </c>
      <c r="C147" s="54" t="s">
        <v>22</v>
      </c>
      <c r="D147" s="54" t="s">
        <v>18</v>
      </c>
      <c r="E147" s="54" t="s">
        <v>21</v>
      </c>
      <c r="F147" s="54" t="s">
        <v>18</v>
      </c>
      <c r="G147" s="54" t="s">
        <v>21</v>
      </c>
      <c r="H147" s="54" t="s">
        <v>19</v>
      </c>
      <c r="I147" s="54" t="s">
        <v>24</v>
      </c>
      <c r="J147" s="54" t="s">
        <v>18</v>
      </c>
      <c r="K147" s="54" t="s">
        <v>257</v>
      </c>
      <c r="L147" s="54" t="s">
        <v>20</v>
      </c>
      <c r="M147" s="54" t="s">
        <v>21</v>
      </c>
      <c r="N147" s="54" t="s">
        <v>21</v>
      </c>
      <c r="O147" s="54" t="s">
        <v>21</v>
      </c>
      <c r="P147" s="54" t="s">
        <v>21</v>
      </c>
      <c r="Q147" s="54" t="s">
        <v>19</v>
      </c>
      <c r="R147" s="161"/>
      <c r="S147" s="186"/>
      <c r="T147" s="1">
        <v>0</v>
      </c>
      <c r="U147" s="1">
        <v>0</v>
      </c>
      <c r="V147" s="1">
        <v>8600</v>
      </c>
      <c r="W147" s="1">
        <v>0</v>
      </c>
      <c r="X147" s="1">
        <v>0</v>
      </c>
      <c r="Y147" s="1">
        <v>0</v>
      </c>
      <c r="Z147" s="1">
        <v>0</v>
      </c>
      <c r="AA147" s="59">
        <f t="shared" ref="AA147" si="49">SUM(T147:Z147)</f>
        <v>8600</v>
      </c>
      <c r="AB147" s="58">
        <v>2020</v>
      </c>
      <c r="AD147" s="104"/>
      <c r="AE147" s="104"/>
    </row>
    <row r="148" spans="1:31" ht="31.5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74</v>
      </c>
      <c r="S148" s="62" t="s">
        <v>38</v>
      </c>
      <c r="T148" s="2">
        <v>0</v>
      </c>
      <c r="U148" s="2">
        <v>6</v>
      </c>
      <c r="V148" s="44">
        <v>4</v>
      </c>
      <c r="W148" s="44">
        <v>2</v>
      </c>
      <c r="X148" s="44">
        <v>3</v>
      </c>
      <c r="Y148" s="2">
        <v>3</v>
      </c>
      <c r="Z148" s="2">
        <v>3</v>
      </c>
      <c r="AA148" s="49">
        <f>SUM(T148:Z148)</f>
        <v>21</v>
      </c>
      <c r="AB148" s="153">
        <v>2024</v>
      </c>
      <c r="AD148" s="104"/>
      <c r="AE148" s="104"/>
    </row>
    <row r="149" spans="1:31" ht="31.1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61" t="s">
        <v>75</v>
      </c>
      <c r="S149" s="62" t="s">
        <v>52</v>
      </c>
      <c r="T149" s="4">
        <v>0</v>
      </c>
      <c r="U149" s="4">
        <v>58.4</v>
      </c>
      <c r="V149" s="3">
        <f>33.1+13.1</f>
        <v>46.2</v>
      </c>
      <c r="W149" s="3">
        <f>37.9+28.5</f>
        <v>66.400000000000006</v>
      </c>
      <c r="X149" s="3">
        <f>12.5+15.7+28.5</f>
        <v>56.7</v>
      </c>
      <c r="Y149" s="4">
        <v>64.3</v>
      </c>
      <c r="Z149" s="4">
        <v>64.3</v>
      </c>
      <c r="AA149" s="6">
        <f>SUM(T149:Z149)</f>
        <v>356.3</v>
      </c>
      <c r="AB149" s="41">
        <v>2024</v>
      </c>
      <c r="AD149" s="104"/>
      <c r="AE149" s="104"/>
    </row>
    <row r="150" spans="1:31" ht="31.5" x14ac:dyDescent="0.25">
      <c r="A150" s="54" t="s">
        <v>18</v>
      </c>
      <c r="B150" s="54" t="s">
        <v>18</v>
      </c>
      <c r="C150" s="54" t="s">
        <v>25</v>
      </c>
      <c r="D150" s="54" t="s">
        <v>18</v>
      </c>
      <c r="E150" s="54" t="s">
        <v>21</v>
      </c>
      <c r="F150" s="54" t="s">
        <v>18</v>
      </c>
      <c r="G150" s="54" t="s">
        <v>22</v>
      </c>
      <c r="H150" s="54" t="s">
        <v>19</v>
      </c>
      <c r="I150" s="54" t="s">
        <v>24</v>
      </c>
      <c r="J150" s="54" t="s">
        <v>18</v>
      </c>
      <c r="K150" s="54" t="s">
        <v>18</v>
      </c>
      <c r="L150" s="54" t="s">
        <v>19</v>
      </c>
      <c r="M150" s="54" t="s">
        <v>19</v>
      </c>
      <c r="N150" s="54" t="s">
        <v>19</v>
      </c>
      <c r="O150" s="54" t="s">
        <v>19</v>
      </c>
      <c r="P150" s="54" t="s">
        <v>169</v>
      </c>
      <c r="Q150" s="54" t="s">
        <v>18</v>
      </c>
      <c r="R150" s="68" t="s">
        <v>323</v>
      </c>
      <c r="S150" s="55" t="s">
        <v>0</v>
      </c>
      <c r="T150" s="59">
        <v>0</v>
      </c>
      <c r="U150" s="59">
        <f>103354.8-103354.8</f>
        <v>0</v>
      </c>
      <c r="V150" s="59">
        <v>1000</v>
      </c>
      <c r="W150" s="59">
        <v>0</v>
      </c>
      <c r="X150" s="59">
        <v>0</v>
      </c>
      <c r="Y150" s="59">
        <v>0</v>
      </c>
      <c r="Z150" s="59">
        <v>0</v>
      </c>
      <c r="AA150" s="59">
        <f>SUM(T150:Y150)</f>
        <v>1000</v>
      </c>
      <c r="AB150" s="58">
        <v>2020</v>
      </c>
      <c r="AD150" s="104"/>
      <c r="AE150" s="104"/>
    </row>
    <row r="151" spans="1:31" ht="31.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322</v>
      </c>
      <c r="S151" s="41" t="s">
        <v>38</v>
      </c>
      <c r="T151" s="44">
        <v>0</v>
      </c>
      <c r="U151" s="44">
        <v>0</v>
      </c>
      <c r="V151" s="44">
        <v>1</v>
      </c>
      <c r="W151" s="44">
        <v>0</v>
      </c>
      <c r="X151" s="44">
        <v>0</v>
      </c>
      <c r="Y151" s="44">
        <v>0</v>
      </c>
      <c r="Z151" s="44">
        <v>0</v>
      </c>
      <c r="AA151" s="49">
        <f t="shared" ref="AA151" si="50">SUM(T151:Y151)</f>
        <v>1</v>
      </c>
      <c r="AB151" s="73">
        <v>2020</v>
      </c>
      <c r="AD151" s="104"/>
      <c r="AE151" s="104"/>
    </row>
    <row r="152" spans="1:31" ht="47.25" x14ac:dyDescent="0.25">
      <c r="A152" s="54"/>
      <c r="B152" s="54"/>
      <c r="C152" s="54"/>
      <c r="D152" s="54" t="s">
        <v>18</v>
      </c>
      <c r="E152" s="54" t="s">
        <v>21</v>
      </c>
      <c r="F152" s="54" t="s">
        <v>18</v>
      </c>
      <c r="G152" s="54" t="s">
        <v>22</v>
      </c>
      <c r="H152" s="54" t="s">
        <v>19</v>
      </c>
      <c r="I152" s="54" t="s">
        <v>24</v>
      </c>
      <c r="J152" s="54" t="s">
        <v>18</v>
      </c>
      <c r="K152" s="54" t="s">
        <v>18</v>
      </c>
      <c r="L152" s="54" t="s">
        <v>19</v>
      </c>
      <c r="M152" s="54" t="s">
        <v>43</v>
      </c>
      <c r="N152" s="54" t="s">
        <v>43</v>
      </c>
      <c r="O152" s="54" t="s">
        <v>43</v>
      </c>
      <c r="P152" s="54" t="s">
        <v>43</v>
      </c>
      <c r="Q152" s="54" t="s">
        <v>43</v>
      </c>
      <c r="R152" s="68" t="s">
        <v>325</v>
      </c>
      <c r="S152" s="58" t="s">
        <v>0</v>
      </c>
      <c r="T152" s="59">
        <v>0</v>
      </c>
      <c r="U152" s="59">
        <f>103354.8-103354.8</f>
        <v>0</v>
      </c>
      <c r="V152" s="59">
        <v>0</v>
      </c>
      <c r="W152" s="59">
        <f t="shared" ref="W152:Z152" si="51">W154+W156+W158+W160</f>
        <v>2070.3000000000002</v>
      </c>
      <c r="X152" s="59">
        <f t="shared" si="51"/>
        <v>6353.7</v>
      </c>
      <c r="Y152" s="59">
        <f t="shared" si="51"/>
        <v>7000</v>
      </c>
      <c r="Z152" s="59">
        <f t="shared" si="51"/>
        <v>7000</v>
      </c>
      <c r="AA152" s="59">
        <f t="shared" ref="AA152:AA161" si="52">SUM(T152:Z152)</f>
        <v>22424</v>
      </c>
      <c r="AB152" s="58">
        <v>2024</v>
      </c>
      <c r="AD152" s="104"/>
      <c r="AE152" s="104"/>
    </row>
    <row r="153" spans="1:31" ht="47.25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340</v>
      </c>
      <c r="S153" s="41" t="s">
        <v>52</v>
      </c>
      <c r="T153" s="44">
        <v>0</v>
      </c>
      <c r="U153" s="44">
        <v>0</v>
      </c>
      <c r="V153" s="44">
        <v>0</v>
      </c>
      <c r="W153" s="3">
        <f t="shared" ref="W153:Z153" si="53">W155+W157+W159+W161</f>
        <v>796.2</v>
      </c>
      <c r="X153" s="3">
        <f t="shared" si="53"/>
        <v>1033.0000000000002</v>
      </c>
      <c r="Y153" s="3">
        <f t="shared" si="53"/>
        <v>1033.0000000000002</v>
      </c>
      <c r="Z153" s="3">
        <f t="shared" si="53"/>
        <v>1033.0000000000002</v>
      </c>
      <c r="AA153" s="49">
        <f t="shared" si="52"/>
        <v>3895.2000000000007</v>
      </c>
      <c r="AB153" s="41">
        <v>2024</v>
      </c>
      <c r="AD153" s="104"/>
      <c r="AE153" s="104"/>
    </row>
    <row r="154" spans="1:31" ht="47.25" x14ac:dyDescent="0.25">
      <c r="A154" s="54" t="s">
        <v>18</v>
      </c>
      <c r="B154" s="54" t="s">
        <v>18</v>
      </c>
      <c r="C154" s="54" t="s">
        <v>22</v>
      </c>
      <c r="D154" s="54" t="s">
        <v>18</v>
      </c>
      <c r="E154" s="54" t="s">
        <v>21</v>
      </c>
      <c r="F154" s="54" t="s">
        <v>18</v>
      </c>
      <c r="G154" s="54" t="s">
        <v>22</v>
      </c>
      <c r="H154" s="54" t="s">
        <v>19</v>
      </c>
      <c r="I154" s="54" t="s">
        <v>24</v>
      </c>
      <c r="J154" s="54" t="s">
        <v>18</v>
      </c>
      <c r="K154" s="54" t="s">
        <v>18</v>
      </c>
      <c r="L154" s="54" t="s">
        <v>19</v>
      </c>
      <c r="M154" s="54" t="s">
        <v>43</v>
      </c>
      <c r="N154" s="54" t="s">
        <v>43</v>
      </c>
      <c r="O154" s="54" t="s">
        <v>43</v>
      </c>
      <c r="P154" s="54" t="s">
        <v>43</v>
      </c>
      <c r="Q154" s="54" t="s">
        <v>43</v>
      </c>
      <c r="R154" s="68" t="s">
        <v>325</v>
      </c>
      <c r="S154" s="55" t="s">
        <v>0</v>
      </c>
      <c r="T154" s="1">
        <v>0</v>
      </c>
      <c r="U154" s="1">
        <f t="shared" ref="U154" si="54">103354.8-103354.8</f>
        <v>0</v>
      </c>
      <c r="V154" s="1">
        <v>0</v>
      </c>
      <c r="W154" s="1">
        <f>2000-1135.9-630.3</f>
        <v>233.79999999999995</v>
      </c>
      <c r="X154" s="1">
        <f>2000-177</f>
        <v>1823</v>
      </c>
      <c r="Y154" s="1">
        <v>2000</v>
      </c>
      <c r="Z154" s="1">
        <v>2000</v>
      </c>
      <c r="AA154" s="59">
        <f t="shared" si="52"/>
        <v>6056.8</v>
      </c>
      <c r="AB154" s="58">
        <v>2024</v>
      </c>
      <c r="AD154" s="104"/>
      <c r="AE154" s="104"/>
    </row>
    <row r="155" spans="1:31" ht="47.25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74" t="s">
        <v>341</v>
      </c>
      <c r="S155" s="41" t="s">
        <v>52</v>
      </c>
      <c r="T155" s="44">
        <v>0</v>
      </c>
      <c r="U155" s="44">
        <v>0</v>
      </c>
      <c r="V155" s="44">
        <v>0</v>
      </c>
      <c r="W155" s="3">
        <v>135</v>
      </c>
      <c r="X155" s="3">
        <v>222.3</v>
      </c>
      <c r="Y155" s="3">
        <v>222.3</v>
      </c>
      <c r="Z155" s="3">
        <v>222.3</v>
      </c>
      <c r="AA155" s="6">
        <f t="shared" si="52"/>
        <v>801.90000000000009</v>
      </c>
      <c r="AB155" s="41">
        <v>2024</v>
      </c>
      <c r="AD155" s="104"/>
      <c r="AE155" s="104"/>
    </row>
    <row r="156" spans="1:31" ht="47.25" x14ac:dyDescent="0.25">
      <c r="A156" s="54" t="s">
        <v>18</v>
      </c>
      <c r="B156" s="54" t="s">
        <v>18</v>
      </c>
      <c r="C156" s="54" t="s">
        <v>24</v>
      </c>
      <c r="D156" s="54" t="s">
        <v>18</v>
      </c>
      <c r="E156" s="54" t="s">
        <v>21</v>
      </c>
      <c r="F156" s="54" t="s">
        <v>18</v>
      </c>
      <c r="G156" s="54" t="s">
        <v>22</v>
      </c>
      <c r="H156" s="54" t="s">
        <v>19</v>
      </c>
      <c r="I156" s="54" t="s">
        <v>24</v>
      </c>
      <c r="J156" s="54" t="s">
        <v>18</v>
      </c>
      <c r="K156" s="54" t="s">
        <v>18</v>
      </c>
      <c r="L156" s="54" t="s">
        <v>19</v>
      </c>
      <c r="M156" s="54" t="s">
        <v>43</v>
      </c>
      <c r="N156" s="54" t="s">
        <v>43</v>
      </c>
      <c r="O156" s="54" t="s">
        <v>43</v>
      </c>
      <c r="P156" s="54" t="s">
        <v>43</v>
      </c>
      <c r="Q156" s="54" t="s">
        <v>43</v>
      </c>
      <c r="R156" s="68" t="s">
        <v>325</v>
      </c>
      <c r="S156" s="55" t="s">
        <v>0</v>
      </c>
      <c r="T156" s="1">
        <v>0</v>
      </c>
      <c r="U156" s="1">
        <f t="shared" ref="U156" si="55">103354.8-103354.8</f>
        <v>0</v>
      </c>
      <c r="V156" s="1">
        <v>0</v>
      </c>
      <c r="W156" s="1">
        <f>1500-57.9-698.8-150</f>
        <v>593.29999999999995</v>
      </c>
      <c r="X156" s="1">
        <f>1500-417.3-15</f>
        <v>1067.7</v>
      </c>
      <c r="Y156" s="1">
        <v>1500</v>
      </c>
      <c r="Z156" s="1">
        <v>1500</v>
      </c>
      <c r="AA156" s="59">
        <f t="shared" si="52"/>
        <v>4661</v>
      </c>
      <c r="AB156" s="58">
        <v>2024</v>
      </c>
      <c r="AD156" s="104"/>
      <c r="AE156" s="104"/>
    </row>
    <row r="157" spans="1:31" ht="47.25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61" t="s">
        <v>342</v>
      </c>
      <c r="S157" s="41" t="s">
        <v>52</v>
      </c>
      <c r="T157" s="44">
        <v>0</v>
      </c>
      <c r="U157" s="44">
        <v>0</v>
      </c>
      <c r="V157" s="44">
        <v>0</v>
      </c>
      <c r="W157" s="3">
        <v>197.4</v>
      </c>
      <c r="X157" s="3">
        <v>295.60000000000002</v>
      </c>
      <c r="Y157" s="3">
        <v>295.60000000000002</v>
      </c>
      <c r="Z157" s="3">
        <v>295.60000000000002</v>
      </c>
      <c r="AA157" s="6">
        <f t="shared" si="52"/>
        <v>1084.2</v>
      </c>
      <c r="AB157" s="41">
        <v>2024</v>
      </c>
      <c r="AD157" s="104"/>
      <c r="AE157" s="104"/>
    </row>
    <row r="158" spans="1:31" ht="47.25" x14ac:dyDescent="0.25">
      <c r="A158" s="54" t="s">
        <v>18</v>
      </c>
      <c r="B158" s="54" t="s">
        <v>18</v>
      </c>
      <c r="C158" s="54" t="s">
        <v>21</v>
      </c>
      <c r="D158" s="54" t="s">
        <v>18</v>
      </c>
      <c r="E158" s="54" t="s">
        <v>21</v>
      </c>
      <c r="F158" s="54" t="s">
        <v>18</v>
      </c>
      <c r="G158" s="54" t="s">
        <v>22</v>
      </c>
      <c r="H158" s="54" t="s">
        <v>19</v>
      </c>
      <c r="I158" s="54" t="s">
        <v>24</v>
      </c>
      <c r="J158" s="54" t="s">
        <v>18</v>
      </c>
      <c r="K158" s="54" t="s">
        <v>18</v>
      </c>
      <c r="L158" s="54" t="s">
        <v>19</v>
      </c>
      <c r="M158" s="54" t="s">
        <v>43</v>
      </c>
      <c r="N158" s="54" t="s">
        <v>43</v>
      </c>
      <c r="O158" s="54" t="s">
        <v>43</v>
      </c>
      <c r="P158" s="54" t="s">
        <v>43</v>
      </c>
      <c r="Q158" s="54" t="s">
        <v>43</v>
      </c>
      <c r="R158" s="68" t="s">
        <v>325</v>
      </c>
      <c r="S158" s="55" t="s">
        <v>0</v>
      </c>
      <c r="T158" s="1">
        <v>0</v>
      </c>
      <c r="U158" s="1">
        <f t="shared" ref="U158" si="56">103354.8-103354.8</f>
        <v>0</v>
      </c>
      <c r="V158" s="1">
        <v>0</v>
      </c>
      <c r="W158" s="1">
        <f>2000-26.3-155-153-1074.6</f>
        <v>591.10000000000014</v>
      </c>
      <c r="X158" s="1">
        <f>2000-37</f>
        <v>1963</v>
      </c>
      <c r="Y158" s="1">
        <v>2000</v>
      </c>
      <c r="Z158" s="1">
        <v>2000</v>
      </c>
      <c r="AA158" s="59">
        <f t="shared" si="52"/>
        <v>6554.1</v>
      </c>
      <c r="AB158" s="58">
        <v>2024</v>
      </c>
      <c r="AD158" s="104"/>
      <c r="AE158" s="104"/>
    </row>
    <row r="159" spans="1:31" ht="47.2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343</v>
      </c>
      <c r="S159" s="41" t="s">
        <v>52</v>
      </c>
      <c r="T159" s="44">
        <v>0</v>
      </c>
      <c r="U159" s="44">
        <v>0</v>
      </c>
      <c r="V159" s="44">
        <v>0</v>
      </c>
      <c r="W159" s="3">
        <v>225</v>
      </c>
      <c r="X159" s="3">
        <v>274.2</v>
      </c>
      <c r="Y159" s="3">
        <v>274.2</v>
      </c>
      <c r="Z159" s="3">
        <v>274.2</v>
      </c>
      <c r="AA159" s="6">
        <f t="shared" si="52"/>
        <v>1047.5999999999999</v>
      </c>
      <c r="AB159" s="41">
        <v>2024</v>
      </c>
      <c r="AD159" s="104"/>
      <c r="AE159" s="104"/>
    </row>
    <row r="160" spans="1:31" ht="47.25" x14ac:dyDescent="0.25">
      <c r="A160" s="54" t="s">
        <v>18</v>
      </c>
      <c r="B160" s="54" t="s">
        <v>18</v>
      </c>
      <c r="C160" s="54" t="s">
        <v>25</v>
      </c>
      <c r="D160" s="54" t="s">
        <v>18</v>
      </c>
      <c r="E160" s="54" t="s">
        <v>21</v>
      </c>
      <c r="F160" s="54" t="s">
        <v>18</v>
      </c>
      <c r="G160" s="54" t="s">
        <v>22</v>
      </c>
      <c r="H160" s="54" t="s">
        <v>19</v>
      </c>
      <c r="I160" s="54" t="s">
        <v>24</v>
      </c>
      <c r="J160" s="54" t="s">
        <v>18</v>
      </c>
      <c r="K160" s="54" t="s">
        <v>18</v>
      </c>
      <c r="L160" s="54" t="s">
        <v>19</v>
      </c>
      <c r="M160" s="54" t="s">
        <v>43</v>
      </c>
      <c r="N160" s="54" t="s">
        <v>43</v>
      </c>
      <c r="O160" s="54" t="s">
        <v>43</v>
      </c>
      <c r="P160" s="54" t="s">
        <v>43</v>
      </c>
      <c r="Q160" s="54" t="s">
        <v>43</v>
      </c>
      <c r="R160" s="68" t="s">
        <v>325</v>
      </c>
      <c r="S160" s="55" t="s">
        <v>0</v>
      </c>
      <c r="T160" s="1">
        <v>0</v>
      </c>
      <c r="U160" s="1">
        <f t="shared" ref="U160" si="57">103354.8-103354.8</f>
        <v>0</v>
      </c>
      <c r="V160" s="1">
        <v>0</v>
      </c>
      <c r="W160" s="1">
        <f>1500-817.5-30.4</f>
        <v>652.1</v>
      </c>
      <c r="X160" s="1">
        <v>1500</v>
      </c>
      <c r="Y160" s="1">
        <v>1500</v>
      </c>
      <c r="Z160" s="1">
        <v>1500</v>
      </c>
      <c r="AA160" s="59">
        <f t="shared" si="52"/>
        <v>5152.1000000000004</v>
      </c>
      <c r="AB160" s="58">
        <v>2024</v>
      </c>
      <c r="AD160" s="104"/>
      <c r="AE160" s="104"/>
    </row>
    <row r="161" spans="1:31" ht="47.25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344</v>
      </c>
      <c r="S161" s="41" t="s">
        <v>52</v>
      </c>
      <c r="T161" s="44">
        <v>0</v>
      </c>
      <c r="U161" s="44">
        <v>0</v>
      </c>
      <c r="V161" s="44">
        <v>0</v>
      </c>
      <c r="W161" s="3">
        <v>238.8</v>
      </c>
      <c r="X161" s="3">
        <v>240.9</v>
      </c>
      <c r="Y161" s="3">
        <v>240.9</v>
      </c>
      <c r="Z161" s="3">
        <v>240.9</v>
      </c>
      <c r="AA161" s="6">
        <f t="shared" si="52"/>
        <v>961.5</v>
      </c>
      <c r="AB161" s="41">
        <v>2024</v>
      </c>
      <c r="AD161" s="104"/>
      <c r="AE161" s="104"/>
    </row>
    <row r="162" spans="1:31" ht="80.25" customHeight="1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152" t="s">
        <v>354</v>
      </c>
      <c r="S162" s="55" t="s">
        <v>41</v>
      </c>
      <c r="T162" s="56">
        <v>0</v>
      </c>
      <c r="U162" s="56">
        <v>0</v>
      </c>
      <c r="V162" s="56">
        <v>0</v>
      </c>
      <c r="W162" s="56">
        <v>1</v>
      </c>
      <c r="X162" s="56">
        <v>1</v>
      </c>
      <c r="Y162" s="56">
        <v>1</v>
      </c>
      <c r="Z162" s="56">
        <v>1</v>
      </c>
      <c r="AA162" s="57">
        <v>1</v>
      </c>
      <c r="AB162" s="58">
        <v>2024</v>
      </c>
      <c r="AD162" s="104"/>
      <c r="AE162" s="104"/>
    </row>
    <row r="163" spans="1:31" ht="79.900000000000006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355</v>
      </c>
      <c r="S163" s="62" t="s">
        <v>38</v>
      </c>
      <c r="T163" s="44">
        <v>0</v>
      </c>
      <c r="U163" s="44">
        <v>0</v>
      </c>
      <c r="V163" s="44">
        <v>0</v>
      </c>
      <c r="W163" s="44">
        <v>4</v>
      </c>
      <c r="X163" s="44">
        <v>4</v>
      </c>
      <c r="Y163" s="44">
        <v>4</v>
      </c>
      <c r="Z163" s="44">
        <v>4</v>
      </c>
      <c r="AA163" s="49">
        <f>SUM(T163:Z163)</f>
        <v>16</v>
      </c>
      <c r="AB163" s="41">
        <v>2024</v>
      </c>
      <c r="AD163" s="104"/>
      <c r="AE163" s="104"/>
    </row>
    <row r="164" spans="1:31" ht="78.75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152" t="s">
        <v>356</v>
      </c>
      <c r="S164" s="55" t="s">
        <v>41</v>
      </c>
      <c r="T164" s="56">
        <v>0</v>
      </c>
      <c r="U164" s="56">
        <v>0</v>
      </c>
      <c r="V164" s="56">
        <v>0</v>
      </c>
      <c r="W164" s="56">
        <v>1</v>
      </c>
      <c r="X164" s="56">
        <v>1</v>
      </c>
      <c r="Y164" s="56">
        <v>1</v>
      </c>
      <c r="Z164" s="56">
        <v>1</v>
      </c>
      <c r="AA164" s="57">
        <v>1</v>
      </c>
      <c r="AB164" s="58">
        <v>2024</v>
      </c>
      <c r="AD164" s="104"/>
      <c r="AE164" s="104"/>
    </row>
    <row r="165" spans="1:31" ht="78.7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361</v>
      </c>
      <c r="S165" s="62" t="s">
        <v>38</v>
      </c>
      <c r="T165" s="44">
        <v>0</v>
      </c>
      <c r="U165" s="44">
        <v>0</v>
      </c>
      <c r="V165" s="44">
        <v>0</v>
      </c>
      <c r="W165" s="44">
        <v>12</v>
      </c>
      <c r="X165" s="44">
        <v>12</v>
      </c>
      <c r="Y165" s="44">
        <v>12</v>
      </c>
      <c r="Z165" s="44">
        <v>12</v>
      </c>
      <c r="AA165" s="49">
        <f>SUM(T165:Z165)</f>
        <v>48</v>
      </c>
      <c r="AB165" s="41">
        <v>2024</v>
      </c>
      <c r="AD165" s="104"/>
      <c r="AE165" s="104"/>
    </row>
    <row r="166" spans="1:31" s="51" customFormat="1" ht="31.5" x14ac:dyDescent="0.25">
      <c r="A166" s="46"/>
      <c r="B166" s="46"/>
      <c r="C166" s="46"/>
      <c r="D166" s="46"/>
      <c r="E166" s="46"/>
      <c r="F166" s="46"/>
      <c r="G166" s="46"/>
      <c r="H166" s="46" t="s">
        <v>19</v>
      </c>
      <c r="I166" s="46" t="s">
        <v>24</v>
      </c>
      <c r="J166" s="46" t="s">
        <v>18</v>
      </c>
      <c r="K166" s="46" t="s">
        <v>18</v>
      </c>
      <c r="L166" s="46" t="s">
        <v>20</v>
      </c>
      <c r="M166" s="46" t="s">
        <v>18</v>
      </c>
      <c r="N166" s="46" t="s">
        <v>18</v>
      </c>
      <c r="O166" s="46" t="s">
        <v>18</v>
      </c>
      <c r="P166" s="46" t="s">
        <v>18</v>
      </c>
      <c r="Q166" s="46" t="s">
        <v>18</v>
      </c>
      <c r="R166" s="75" t="s">
        <v>56</v>
      </c>
      <c r="S166" s="141" t="s">
        <v>0</v>
      </c>
      <c r="T166" s="140">
        <f>T189+T236+T175+T504</f>
        <v>147061.215</v>
      </c>
      <c r="U166" s="140">
        <f>U189+U236+U175+U504</f>
        <v>108807.59999999998</v>
      </c>
      <c r="V166" s="140">
        <f>V189+V236+V175+V504</f>
        <v>7655.1</v>
      </c>
      <c r="W166" s="140">
        <f>W189+W236+W175+W504+W526</f>
        <v>33106.5</v>
      </c>
      <c r="X166" s="140">
        <f>X189+X236+X175+X504+X526</f>
        <v>70364.899999999994</v>
      </c>
      <c r="Y166" s="140">
        <f>Y189+Y236+Y175+Y504+Y526</f>
        <v>10000</v>
      </c>
      <c r="Z166" s="140">
        <f>Z189+Z236+Z175+Z504+Z526</f>
        <v>10000</v>
      </c>
      <c r="AA166" s="140">
        <f>SUM(T166:Z166)</f>
        <v>386995.31499999994</v>
      </c>
      <c r="AB166" s="141">
        <v>2024</v>
      </c>
      <c r="AC166" s="111"/>
      <c r="AD166" s="50"/>
    </row>
    <row r="167" spans="1:31" s="51" customFormat="1" ht="31.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229</v>
      </c>
      <c r="S167" s="41" t="s">
        <v>38</v>
      </c>
      <c r="T167" s="2">
        <f>T507+T194+T238</f>
        <v>58</v>
      </c>
      <c r="U167" s="44">
        <f>U507+U194+U238</f>
        <v>42</v>
      </c>
      <c r="V167" s="2">
        <f>V507+V194+V238</f>
        <v>7</v>
      </c>
      <c r="W167" s="2">
        <f>W507+W194+W238+W528</f>
        <v>17</v>
      </c>
      <c r="X167" s="2">
        <f>X507+X194+X238+X528</f>
        <v>18</v>
      </c>
      <c r="Y167" s="2">
        <f>Y507+Y194+Y238+Y528</f>
        <v>7</v>
      </c>
      <c r="Z167" s="2">
        <f>Z507+Z194+Z238+Z528</f>
        <v>7</v>
      </c>
      <c r="AA167" s="45">
        <f>SUM(T167:Z167)</f>
        <v>156</v>
      </c>
      <c r="AB167" s="41">
        <v>2024</v>
      </c>
      <c r="AC167" s="91"/>
      <c r="AD167" s="50"/>
    </row>
    <row r="168" spans="1:31" s="51" customFormat="1" ht="31.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230</v>
      </c>
      <c r="S168" s="41" t="s">
        <v>52</v>
      </c>
      <c r="T168" s="4">
        <f>T507+T192+T237</f>
        <v>63</v>
      </c>
      <c r="U168" s="4">
        <f>U508+U192+U237</f>
        <v>42.2</v>
      </c>
      <c r="V168" s="4">
        <f>V508+V192+V237</f>
        <v>1.7000000000000002</v>
      </c>
      <c r="W168" s="4">
        <f>W508+W192+W237+W527</f>
        <v>11</v>
      </c>
      <c r="X168" s="4">
        <f>X508+X192+X237+X527</f>
        <v>28.2</v>
      </c>
      <c r="Y168" s="4">
        <f>Y508+Y192+Y237+Y527</f>
        <v>10</v>
      </c>
      <c r="Z168" s="4">
        <f>Z508+Z192+Z237+Z527</f>
        <v>10</v>
      </c>
      <c r="AA168" s="5">
        <f>SUM(T168:Z168)</f>
        <v>166.1</v>
      </c>
      <c r="AB168" s="41">
        <v>2024</v>
      </c>
      <c r="AC168" s="111"/>
      <c r="AD168" s="50"/>
    </row>
    <row r="169" spans="1:31" s="8" customFormat="1" ht="47.25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61" t="s">
        <v>122</v>
      </c>
      <c r="S169" s="153" t="s">
        <v>9</v>
      </c>
      <c r="T169" s="3">
        <f>((4338+39.6)+63)/13987*100</f>
        <v>31.748051762350755</v>
      </c>
      <c r="U169" s="3">
        <f>((4338+39.6)+T168+U168)/13987*100</f>
        <v>32.049760491885323</v>
      </c>
      <c r="V169" s="3">
        <f>((4338+39.6)+U168+V168+T168)/13987*100</f>
        <v>32.061914635018226</v>
      </c>
      <c r="W169" s="3">
        <f>((4338+39.6)+T168+V168+W168+U168)/13987*100</f>
        <v>32.140559090584112</v>
      </c>
      <c r="X169" s="3">
        <f>((4338+39.6)+T168+U168+W168+X168+V168)/13987*100</f>
        <v>32.342174876671194</v>
      </c>
      <c r="Y169" s="3">
        <f>((4338+39.6)+T168+U168+V168+X168+Y168+W168)/13987*100</f>
        <v>32.41366983627654</v>
      </c>
      <c r="Z169" s="3">
        <f>((4338+39.6)+T168+U168+V168+W168+Y168+Z168+X168)/13987*100</f>
        <v>32.485164795881886</v>
      </c>
      <c r="AA169" s="5">
        <f>Z169</f>
        <v>32.485164795881886</v>
      </c>
      <c r="AB169" s="41">
        <v>2024</v>
      </c>
      <c r="AC169" s="103"/>
      <c r="AD169" s="60"/>
    </row>
    <row r="170" spans="1:31" ht="47.25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5" t="s">
        <v>123</v>
      </c>
      <c r="S170" s="153" t="s">
        <v>9</v>
      </c>
      <c r="T170" s="3">
        <f>30/58*100</f>
        <v>51.724137931034484</v>
      </c>
      <c r="U170" s="3">
        <f>22/42*100</f>
        <v>52.380952380952387</v>
      </c>
      <c r="V170" s="3">
        <f>7/7*100</f>
        <v>100</v>
      </c>
      <c r="W170" s="3">
        <f>15/17*100</f>
        <v>88.235294117647058</v>
      </c>
      <c r="X170" s="4">
        <v>91</v>
      </c>
      <c r="Y170" s="4">
        <v>91</v>
      </c>
      <c r="Z170" s="4">
        <v>91</v>
      </c>
      <c r="AA170" s="5">
        <v>91</v>
      </c>
      <c r="AB170" s="41">
        <v>2024</v>
      </c>
      <c r="AC170" s="111"/>
    </row>
    <row r="171" spans="1:31" ht="46.9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5" t="s">
        <v>254</v>
      </c>
      <c r="S171" s="153" t="s">
        <v>255</v>
      </c>
      <c r="T171" s="4">
        <v>0</v>
      </c>
      <c r="U171" s="4">
        <v>0</v>
      </c>
      <c r="V171" s="4">
        <v>0</v>
      </c>
      <c r="W171" s="4">
        <f>1.1*4*100%</f>
        <v>4.4000000000000004</v>
      </c>
      <c r="X171" s="4">
        <v>23.7</v>
      </c>
      <c r="Y171" s="4">
        <v>23.7</v>
      </c>
      <c r="Z171" s="4">
        <v>23.7</v>
      </c>
      <c r="AA171" s="5">
        <v>23.7</v>
      </c>
      <c r="AB171" s="41">
        <v>2024</v>
      </c>
      <c r="AC171" s="111"/>
    </row>
    <row r="172" spans="1:31" s="51" customFormat="1" ht="31.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124</v>
      </c>
      <c r="S172" s="41" t="s">
        <v>9</v>
      </c>
      <c r="T172" s="3">
        <f>27.6/336.9*100</f>
        <v>8.1923419412288521</v>
      </c>
      <c r="U172" s="3">
        <f>11.3/336.9*100</f>
        <v>3.3541110121697839</v>
      </c>
      <c r="V172" s="3">
        <f>2/336.9*100</f>
        <v>0.59364796675571385</v>
      </c>
      <c r="W172" s="3">
        <f>5.6/336.9*100</f>
        <v>1.6622143069159989</v>
      </c>
      <c r="X172" s="3">
        <v>43.1</v>
      </c>
      <c r="Y172" s="3">
        <v>43.1</v>
      </c>
      <c r="Z172" s="3">
        <v>43.1</v>
      </c>
      <c r="AA172" s="6">
        <v>43.1</v>
      </c>
      <c r="AB172" s="41">
        <v>2024</v>
      </c>
      <c r="AC172" s="111"/>
      <c r="AD172" s="50"/>
    </row>
    <row r="173" spans="1:31" s="51" customFormat="1" ht="50.45" customHeight="1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152" t="s">
        <v>125</v>
      </c>
      <c r="S173" s="55" t="s">
        <v>41</v>
      </c>
      <c r="T173" s="56">
        <v>0</v>
      </c>
      <c r="U173" s="56">
        <v>0</v>
      </c>
      <c r="V173" s="56">
        <v>0</v>
      </c>
      <c r="W173" s="56">
        <v>1</v>
      </c>
      <c r="X173" s="56">
        <v>1</v>
      </c>
      <c r="Y173" s="56">
        <v>1</v>
      </c>
      <c r="Z173" s="56">
        <v>1</v>
      </c>
      <c r="AA173" s="57">
        <v>1</v>
      </c>
      <c r="AB173" s="58">
        <v>2024</v>
      </c>
      <c r="AC173" s="111"/>
      <c r="AD173" s="50"/>
    </row>
    <row r="174" spans="1:31" s="51" customFormat="1" ht="31.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72</v>
      </c>
      <c r="S174" s="41" t="s">
        <v>38</v>
      </c>
      <c r="T174" s="44">
        <v>0</v>
      </c>
      <c r="U174" s="44">
        <v>0</v>
      </c>
      <c r="V174" s="44">
        <f t="shared" ref="V174:Z174" si="58">V507</f>
        <v>0</v>
      </c>
      <c r="W174" s="44">
        <v>1</v>
      </c>
      <c r="X174" s="44">
        <v>2</v>
      </c>
      <c r="Y174" s="44">
        <f t="shared" si="58"/>
        <v>2</v>
      </c>
      <c r="Z174" s="44">
        <f t="shared" si="58"/>
        <v>2</v>
      </c>
      <c r="AA174" s="49">
        <f>SUM(T174:Z174)</f>
        <v>7</v>
      </c>
      <c r="AB174" s="41">
        <v>2024</v>
      </c>
      <c r="AC174" s="117"/>
      <c r="AD174" s="113"/>
      <c r="AE174" s="113"/>
    </row>
    <row r="175" spans="1:31" s="51" customFormat="1" ht="31.5" x14ac:dyDescent="0.25">
      <c r="A175" s="54"/>
      <c r="B175" s="54"/>
      <c r="C175" s="54"/>
      <c r="D175" s="54" t="s">
        <v>18</v>
      </c>
      <c r="E175" s="54" t="s">
        <v>21</v>
      </c>
      <c r="F175" s="54" t="s">
        <v>18</v>
      </c>
      <c r="G175" s="54" t="s">
        <v>22</v>
      </c>
      <c r="H175" s="54" t="s">
        <v>19</v>
      </c>
      <c r="I175" s="54" t="s">
        <v>24</v>
      </c>
      <c r="J175" s="54" t="s">
        <v>18</v>
      </c>
      <c r="K175" s="54" t="s">
        <v>18</v>
      </c>
      <c r="L175" s="54" t="s">
        <v>20</v>
      </c>
      <c r="M175" s="54" t="s">
        <v>43</v>
      </c>
      <c r="N175" s="54" t="s">
        <v>43</v>
      </c>
      <c r="O175" s="54" t="s">
        <v>43</v>
      </c>
      <c r="P175" s="54" t="s">
        <v>43</v>
      </c>
      <c r="Q175" s="54" t="s">
        <v>43</v>
      </c>
      <c r="R175" s="152" t="s">
        <v>258</v>
      </c>
      <c r="S175" s="58" t="s">
        <v>0</v>
      </c>
      <c r="T175" s="59">
        <f t="shared" ref="T175:Y175" si="59">T177+T179+T181+T183</f>
        <v>1307</v>
      </c>
      <c r="U175" s="59">
        <f t="shared" si="59"/>
        <v>0</v>
      </c>
      <c r="V175" s="59">
        <f t="shared" si="59"/>
        <v>0</v>
      </c>
      <c r="W175" s="59">
        <f t="shared" si="59"/>
        <v>0</v>
      </c>
      <c r="X175" s="59">
        <f t="shared" si="59"/>
        <v>0</v>
      </c>
      <c r="Y175" s="59">
        <f t="shared" si="59"/>
        <v>0</v>
      </c>
      <c r="Z175" s="59">
        <f t="shared" ref="Z175" si="60">Z177+Z179+Z181+Z183</f>
        <v>0</v>
      </c>
      <c r="AA175" s="59">
        <f>SUM(T175:Y175)</f>
        <v>1307</v>
      </c>
      <c r="AB175" s="58">
        <v>2018</v>
      </c>
      <c r="AC175" s="111"/>
      <c r="AD175" s="113"/>
      <c r="AE175" s="113"/>
    </row>
    <row r="176" spans="1:31" s="51" customFormat="1" ht="47.25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78" t="s">
        <v>271</v>
      </c>
      <c r="S176" s="52" t="s">
        <v>38</v>
      </c>
      <c r="T176" s="44">
        <f>T178+T180+T182+T184</f>
        <v>39</v>
      </c>
      <c r="U176" s="44">
        <f t="shared" ref="U176:Y176" si="61">U178+U180+U182+U184</f>
        <v>0</v>
      </c>
      <c r="V176" s="44">
        <f t="shared" si="61"/>
        <v>0</v>
      </c>
      <c r="W176" s="44">
        <f t="shared" si="61"/>
        <v>0</v>
      </c>
      <c r="X176" s="44">
        <f t="shared" si="61"/>
        <v>0</v>
      </c>
      <c r="Y176" s="44">
        <f t="shared" si="61"/>
        <v>0</v>
      </c>
      <c r="Z176" s="44">
        <f t="shared" ref="Z176" si="62">Z178+Z180+Z182+Z184</f>
        <v>0</v>
      </c>
      <c r="AA176" s="49">
        <f>T176</f>
        <v>39</v>
      </c>
      <c r="AB176" s="41">
        <v>2018</v>
      </c>
      <c r="AC176" s="111"/>
      <c r="AD176" s="113"/>
      <c r="AE176" s="113"/>
    </row>
    <row r="177" spans="1:31" s="51" customFormat="1" ht="30" customHeight="1" x14ac:dyDescent="0.25">
      <c r="A177" s="54" t="s">
        <v>18</v>
      </c>
      <c r="B177" s="54" t="s">
        <v>18</v>
      </c>
      <c r="C177" s="54" t="s">
        <v>22</v>
      </c>
      <c r="D177" s="54" t="s">
        <v>18</v>
      </c>
      <c r="E177" s="54" t="s">
        <v>21</v>
      </c>
      <c r="F177" s="54" t="s">
        <v>18</v>
      </c>
      <c r="G177" s="54" t="s">
        <v>22</v>
      </c>
      <c r="H177" s="54" t="s">
        <v>19</v>
      </c>
      <c r="I177" s="54" t="s">
        <v>24</v>
      </c>
      <c r="J177" s="54" t="s">
        <v>18</v>
      </c>
      <c r="K177" s="54" t="s">
        <v>18</v>
      </c>
      <c r="L177" s="54" t="s">
        <v>20</v>
      </c>
      <c r="M177" s="54" t="s">
        <v>43</v>
      </c>
      <c r="N177" s="54" t="s">
        <v>43</v>
      </c>
      <c r="O177" s="54" t="s">
        <v>43</v>
      </c>
      <c r="P177" s="54" t="s">
        <v>43</v>
      </c>
      <c r="Q177" s="54" t="s">
        <v>43</v>
      </c>
      <c r="R177" s="152" t="s">
        <v>258</v>
      </c>
      <c r="S177" s="55" t="s">
        <v>0</v>
      </c>
      <c r="T177" s="1">
        <v>474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59">
        <f>SUM(T177:Y177)</f>
        <v>474</v>
      </c>
      <c r="AB177" s="58">
        <v>2018</v>
      </c>
      <c r="AC177" s="121"/>
      <c r="AD177" s="114"/>
      <c r="AE177" s="114"/>
    </row>
    <row r="178" spans="1:31" s="51" customFormat="1" ht="63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272</v>
      </c>
      <c r="S178" s="52" t="s">
        <v>38</v>
      </c>
      <c r="T178" s="44">
        <v>15</v>
      </c>
      <c r="U178" s="44">
        <v>0</v>
      </c>
      <c r="V178" s="44">
        <v>0</v>
      </c>
      <c r="W178" s="44">
        <v>0</v>
      </c>
      <c r="X178" s="44">
        <v>0</v>
      </c>
      <c r="Y178" s="44">
        <v>0</v>
      </c>
      <c r="Z178" s="44">
        <v>0</v>
      </c>
      <c r="AA178" s="49">
        <f>T178+U178+V178+W178+X178</f>
        <v>15</v>
      </c>
      <c r="AB178" s="41">
        <v>2018</v>
      </c>
      <c r="AC178" s="111"/>
      <c r="AD178" s="50"/>
    </row>
    <row r="179" spans="1:31" s="136" customFormat="1" ht="31.5" x14ac:dyDescent="0.25">
      <c r="A179" s="54" t="s">
        <v>18</v>
      </c>
      <c r="B179" s="54" t="s">
        <v>18</v>
      </c>
      <c r="C179" s="54" t="s">
        <v>24</v>
      </c>
      <c r="D179" s="54" t="s">
        <v>18</v>
      </c>
      <c r="E179" s="54" t="s">
        <v>21</v>
      </c>
      <c r="F179" s="54" t="s">
        <v>18</v>
      </c>
      <c r="G179" s="54" t="s">
        <v>22</v>
      </c>
      <c r="H179" s="54" t="s">
        <v>19</v>
      </c>
      <c r="I179" s="54" t="s">
        <v>24</v>
      </c>
      <c r="J179" s="54" t="s">
        <v>18</v>
      </c>
      <c r="K179" s="54" t="s">
        <v>18</v>
      </c>
      <c r="L179" s="54" t="s">
        <v>20</v>
      </c>
      <c r="M179" s="54" t="s">
        <v>43</v>
      </c>
      <c r="N179" s="54" t="s">
        <v>43</v>
      </c>
      <c r="O179" s="54" t="s">
        <v>43</v>
      </c>
      <c r="P179" s="54" t="s">
        <v>43</v>
      </c>
      <c r="Q179" s="54" t="s">
        <v>43</v>
      </c>
      <c r="R179" s="152" t="s">
        <v>258</v>
      </c>
      <c r="S179" s="55" t="s">
        <v>0</v>
      </c>
      <c r="T179" s="1">
        <f>0+126+400-100</f>
        <v>426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59">
        <f t="shared" ref="AA179:AA184" si="63">SUM(T179:Y179)</f>
        <v>426</v>
      </c>
      <c r="AB179" s="58">
        <v>2018</v>
      </c>
      <c r="AC179" s="134"/>
      <c r="AD179" s="135"/>
      <c r="AE179" s="135"/>
    </row>
    <row r="180" spans="1:31" s="51" customFormat="1" ht="63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273</v>
      </c>
      <c r="S180" s="52" t="s">
        <v>38</v>
      </c>
      <c r="T180" s="44">
        <v>4</v>
      </c>
      <c r="U180" s="44">
        <v>0</v>
      </c>
      <c r="V180" s="44">
        <v>0</v>
      </c>
      <c r="W180" s="44">
        <v>0</v>
      </c>
      <c r="X180" s="44">
        <v>0</v>
      </c>
      <c r="Y180" s="44">
        <v>0</v>
      </c>
      <c r="Z180" s="44">
        <v>0</v>
      </c>
      <c r="AA180" s="49">
        <f t="shared" si="63"/>
        <v>4</v>
      </c>
      <c r="AB180" s="41">
        <v>2018</v>
      </c>
      <c r="AC180" s="112"/>
      <c r="AD180" s="113"/>
    </row>
    <row r="181" spans="1:31" s="51" customFormat="1" ht="31.5" x14ac:dyDescent="0.25">
      <c r="A181" s="54" t="s">
        <v>18</v>
      </c>
      <c r="B181" s="54" t="s">
        <v>18</v>
      </c>
      <c r="C181" s="54" t="s">
        <v>21</v>
      </c>
      <c r="D181" s="54" t="s">
        <v>18</v>
      </c>
      <c r="E181" s="54" t="s">
        <v>21</v>
      </c>
      <c r="F181" s="54" t="s">
        <v>18</v>
      </c>
      <c r="G181" s="54" t="s">
        <v>22</v>
      </c>
      <c r="H181" s="54" t="s">
        <v>19</v>
      </c>
      <c r="I181" s="54" t="s">
        <v>24</v>
      </c>
      <c r="J181" s="54" t="s">
        <v>18</v>
      </c>
      <c r="K181" s="54" t="s">
        <v>18</v>
      </c>
      <c r="L181" s="54" t="s">
        <v>20</v>
      </c>
      <c r="M181" s="54" t="s">
        <v>43</v>
      </c>
      <c r="N181" s="54" t="s">
        <v>43</v>
      </c>
      <c r="O181" s="54" t="s">
        <v>43</v>
      </c>
      <c r="P181" s="54" t="s">
        <v>43</v>
      </c>
      <c r="Q181" s="54" t="s">
        <v>43</v>
      </c>
      <c r="R181" s="152" t="s">
        <v>258</v>
      </c>
      <c r="S181" s="55" t="s">
        <v>0</v>
      </c>
      <c r="T181" s="1">
        <v>250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59">
        <f t="shared" si="63"/>
        <v>250</v>
      </c>
      <c r="AB181" s="58">
        <v>2018</v>
      </c>
      <c r="AC181" s="33"/>
      <c r="AD181" s="113"/>
      <c r="AE181" s="113"/>
    </row>
    <row r="182" spans="1:31" s="51" customFormat="1" ht="63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274</v>
      </c>
      <c r="S182" s="52" t="s">
        <v>38</v>
      </c>
      <c r="T182" s="44">
        <v>16</v>
      </c>
      <c r="U182" s="44">
        <v>0</v>
      </c>
      <c r="V182" s="44">
        <v>0</v>
      </c>
      <c r="W182" s="44">
        <v>0</v>
      </c>
      <c r="X182" s="44">
        <v>0</v>
      </c>
      <c r="Y182" s="44">
        <v>0</v>
      </c>
      <c r="Z182" s="44">
        <v>0</v>
      </c>
      <c r="AA182" s="49">
        <f t="shared" si="63"/>
        <v>16</v>
      </c>
      <c r="AB182" s="41">
        <v>2018</v>
      </c>
      <c r="AC182" s="111"/>
      <c r="AD182" s="50"/>
    </row>
    <row r="183" spans="1:31" s="51" customFormat="1" ht="31.5" x14ac:dyDescent="0.25">
      <c r="A183" s="54" t="s">
        <v>18</v>
      </c>
      <c r="B183" s="54" t="s">
        <v>18</v>
      </c>
      <c r="C183" s="54" t="s">
        <v>25</v>
      </c>
      <c r="D183" s="54" t="s">
        <v>18</v>
      </c>
      <c r="E183" s="54" t="s">
        <v>21</v>
      </c>
      <c r="F183" s="54" t="s">
        <v>18</v>
      </c>
      <c r="G183" s="54" t="s">
        <v>22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43</v>
      </c>
      <c r="N183" s="54" t="s">
        <v>43</v>
      </c>
      <c r="O183" s="54" t="s">
        <v>43</v>
      </c>
      <c r="P183" s="54" t="s">
        <v>43</v>
      </c>
      <c r="Q183" s="54" t="s">
        <v>43</v>
      </c>
      <c r="R183" s="152" t="s">
        <v>258</v>
      </c>
      <c r="S183" s="55" t="s">
        <v>0</v>
      </c>
      <c r="T183" s="1">
        <f>480-430+100+55-48</f>
        <v>157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59">
        <f t="shared" si="63"/>
        <v>157</v>
      </c>
      <c r="AB183" s="58">
        <v>2018</v>
      </c>
      <c r="AC183" s="33"/>
      <c r="AD183" s="113"/>
      <c r="AE183" s="113"/>
    </row>
    <row r="184" spans="1:31" s="51" customFormat="1" ht="63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275</v>
      </c>
      <c r="S184" s="52" t="s">
        <v>38</v>
      </c>
      <c r="T184" s="44">
        <v>4</v>
      </c>
      <c r="U184" s="44">
        <v>0</v>
      </c>
      <c r="V184" s="44">
        <v>0</v>
      </c>
      <c r="W184" s="44">
        <v>0</v>
      </c>
      <c r="X184" s="44">
        <v>0</v>
      </c>
      <c r="Y184" s="44">
        <v>0</v>
      </c>
      <c r="Z184" s="44">
        <v>0</v>
      </c>
      <c r="AA184" s="49">
        <f t="shared" si="63"/>
        <v>4</v>
      </c>
      <c r="AB184" s="41">
        <v>2018</v>
      </c>
      <c r="AC184" s="111"/>
      <c r="AD184" s="50"/>
    </row>
    <row r="185" spans="1:31" s="51" customFormat="1" ht="47.25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152" t="s">
        <v>128</v>
      </c>
      <c r="S185" s="55" t="s">
        <v>41</v>
      </c>
      <c r="T185" s="56">
        <v>0</v>
      </c>
      <c r="U185" s="56">
        <v>0</v>
      </c>
      <c r="V185" s="56">
        <v>0</v>
      </c>
      <c r="W185" s="56">
        <v>0</v>
      </c>
      <c r="X185" s="56">
        <v>1</v>
      </c>
      <c r="Y185" s="56">
        <v>1</v>
      </c>
      <c r="Z185" s="56">
        <v>1</v>
      </c>
      <c r="AA185" s="57">
        <v>1</v>
      </c>
      <c r="AB185" s="58">
        <v>2024</v>
      </c>
      <c r="AC185" s="111"/>
      <c r="AD185" s="50"/>
    </row>
    <row r="186" spans="1:31" ht="31.1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77</v>
      </c>
      <c r="S186" s="41" t="s">
        <v>38</v>
      </c>
      <c r="T186" s="2">
        <v>0</v>
      </c>
      <c r="U186" s="2">
        <v>0</v>
      </c>
      <c r="V186" s="2">
        <v>0</v>
      </c>
      <c r="W186" s="44">
        <v>0</v>
      </c>
      <c r="X186" s="2">
        <v>1</v>
      </c>
      <c r="Y186" s="2">
        <v>2</v>
      </c>
      <c r="Z186" s="2">
        <v>2</v>
      </c>
      <c r="AA186" s="49">
        <f>SUM(T186:Z186)</f>
        <v>5</v>
      </c>
      <c r="AB186" s="41">
        <v>2024</v>
      </c>
      <c r="AD186" s="104"/>
      <c r="AE186" s="104"/>
    </row>
    <row r="187" spans="1:31" ht="31.9" customHeight="1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152" t="s">
        <v>129</v>
      </c>
      <c r="S187" s="55" t="s">
        <v>41</v>
      </c>
      <c r="T187" s="56">
        <v>0</v>
      </c>
      <c r="U187" s="56">
        <v>0</v>
      </c>
      <c r="V187" s="56">
        <v>0</v>
      </c>
      <c r="W187" s="56">
        <v>1</v>
      </c>
      <c r="X187" s="56">
        <v>1</v>
      </c>
      <c r="Y187" s="56">
        <v>1</v>
      </c>
      <c r="Z187" s="56">
        <v>1</v>
      </c>
      <c r="AA187" s="57">
        <v>1</v>
      </c>
      <c r="AB187" s="58">
        <v>2024</v>
      </c>
      <c r="AD187" s="104"/>
      <c r="AE187" s="104"/>
    </row>
    <row r="188" spans="1:31" s="76" customFormat="1" ht="47.25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40" t="s">
        <v>130</v>
      </c>
      <c r="S188" s="62" t="s">
        <v>38</v>
      </c>
      <c r="T188" s="2">
        <v>0</v>
      </c>
      <c r="U188" s="2">
        <v>0</v>
      </c>
      <c r="V188" s="2">
        <v>0</v>
      </c>
      <c r="W188" s="2">
        <v>2</v>
      </c>
      <c r="X188" s="2">
        <v>1</v>
      </c>
      <c r="Y188" s="2">
        <v>2</v>
      </c>
      <c r="Z188" s="2">
        <v>2</v>
      </c>
      <c r="AA188" s="45">
        <f>SUM(T188:Z188)</f>
        <v>7</v>
      </c>
      <c r="AB188" s="41">
        <v>2024</v>
      </c>
      <c r="AC188" s="103"/>
    </row>
    <row r="189" spans="1:31" s="76" customFormat="1" ht="63" customHeight="1" x14ac:dyDescent="0.25">
      <c r="A189" s="54"/>
      <c r="B189" s="54"/>
      <c r="C189" s="54"/>
      <c r="D189" s="54" t="s">
        <v>18</v>
      </c>
      <c r="E189" s="54" t="s">
        <v>24</v>
      </c>
      <c r="F189" s="54" t="s">
        <v>18</v>
      </c>
      <c r="G189" s="54" t="s">
        <v>43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18</v>
      </c>
      <c r="N189" s="54" t="s">
        <v>18</v>
      </c>
      <c r="O189" s="54" t="s">
        <v>18</v>
      </c>
      <c r="P189" s="54" t="s">
        <v>18</v>
      </c>
      <c r="Q189" s="54" t="s">
        <v>18</v>
      </c>
      <c r="R189" s="165" t="s">
        <v>131</v>
      </c>
      <c r="S189" s="58" t="s">
        <v>0</v>
      </c>
      <c r="T189" s="59">
        <f t="shared" ref="T189:Z189" si="64">T196+T204+T212+T220+T228</f>
        <v>123487.5</v>
      </c>
      <c r="U189" s="59">
        <f t="shared" si="64"/>
        <v>86341.199999999983</v>
      </c>
      <c r="V189" s="59">
        <f t="shared" si="64"/>
        <v>569.79999999999995</v>
      </c>
      <c r="W189" s="59">
        <f t="shared" si="64"/>
        <v>112.2</v>
      </c>
      <c r="X189" s="59">
        <f>X196+X204+X212+X220+X228</f>
        <v>31553.499999999996</v>
      </c>
      <c r="Y189" s="59">
        <f t="shared" si="64"/>
        <v>0</v>
      </c>
      <c r="Z189" s="59">
        <f t="shared" si="64"/>
        <v>0</v>
      </c>
      <c r="AA189" s="59">
        <f>SUM(T189:Z189)</f>
        <v>242064.19999999998</v>
      </c>
      <c r="AB189" s="58">
        <v>2022</v>
      </c>
      <c r="AC189" s="108"/>
    </row>
    <row r="190" spans="1:31" s="76" customFormat="1" ht="19.899999999999999" hidden="1" customHeight="1" x14ac:dyDescent="0.25">
      <c r="A190" s="54"/>
      <c r="B190" s="54"/>
      <c r="C190" s="54"/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37</v>
      </c>
      <c r="N190" s="54" t="s">
        <v>18</v>
      </c>
      <c r="O190" s="54" t="s">
        <v>20</v>
      </c>
      <c r="P190" s="54" t="s">
        <v>19</v>
      </c>
      <c r="Q190" s="54" t="s">
        <v>39</v>
      </c>
      <c r="R190" s="165"/>
      <c r="S190" s="55" t="s">
        <v>0</v>
      </c>
      <c r="T190" s="1">
        <f t="shared" ref="T190:Z190" si="65">T198+T206+T214+T222</f>
        <v>0</v>
      </c>
      <c r="U190" s="1">
        <f t="shared" si="65"/>
        <v>18179.999999999996</v>
      </c>
      <c r="V190" s="1">
        <f t="shared" si="65"/>
        <v>0</v>
      </c>
      <c r="W190" s="1">
        <f t="shared" si="65"/>
        <v>0</v>
      </c>
      <c r="X190" s="1">
        <f t="shared" si="65"/>
        <v>6160.8</v>
      </c>
      <c r="Y190" s="1">
        <f t="shared" si="65"/>
        <v>0</v>
      </c>
      <c r="Z190" s="1">
        <f t="shared" si="65"/>
        <v>0</v>
      </c>
      <c r="AA190" s="59">
        <f>T190+U190+V190+W190+X190+Y190</f>
        <v>24340.799999999996</v>
      </c>
      <c r="AB190" s="58">
        <v>2023</v>
      </c>
      <c r="AC190" s="103"/>
    </row>
    <row r="191" spans="1:31" s="76" customFormat="1" ht="19.899999999999999" hidden="1" customHeight="1" x14ac:dyDescent="0.25">
      <c r="A191" s="54"/>
      <c r="B191" s="54"/>
      <c r="C191" s="54"/>
      <c r="D191" s="54" t="s">
        <v>18</v>
      </c>
      <c r="E191" s="54" t="s">
        <v>24</v>
      </c>
      <c r="F191" s="54" t="s">
        <v>18</v>
      </c>
      <c r="G191" s="54" t="s">
        <v>43</v>
      </c>
      <c r="H191" s="54" t="s">
        <v>19</v>
      </c>
      <c r="I191" s="54" t="s">
        <v>24</v>
      </c>
      <c r="J191" s="54" t="s">
        <v>18</v>
      </c>
      <c r="K191" s="54" t="s">
        <v>18</v>
      </c>
      <c r="L191" s="54" t="s">
        <v>20</v>
      </c>
      <c r="M191" s="54" t="s">
        <v>18</v>
      </c>
      <c r="N191" s="54" t="s">
        <v>18</v>
      </c>
      <c r="O191" s="54" t="s">
        <v>18</v>
      </c>
      <c r="P191" s="54" t="s">
        <v>18</v>
      </c>
      <c r="Q191" s="54" t="s">
        <v>18</v>
      </c>
      <c r="R191" s="165"/>
      <c r="S191" s="55" t="s">
        <v>0</v>
      </c>
      <c r="T191" s="1">
        <f t="shared" ref="T191:Z191" si="66">T200+T208+T216+T224</f>
        <v>0</v>
      </c>
      <c r="U191" s="1">
        <f t="shared" si="66"/>
        <v>896.59999999999991</v>
      </c>
      <c r="V191" s="1">
        <f t="shared" si="66"/>
        <v>569.79999999999995</v>
      </c>
      <c r="W191" s="1">
        <f t="shared" si="66"/>
        <v>112.2</v>
      </c>
      <c r="X191" s="1">
        <f t="shared" si="66"/>
        <v>50</v>
      </c>
      <c r="Y191" s="1">
        <f t="shared" si="66"/>
        <v>0</v>
      </c>
      <c r="Z191" s="1">
        <f t="shared" si="66"/>
        <v>0</v>
      </c>
      <c r="AA191" s="59">
        <f>T191+U191+V191+W191+X191+Y191</f>
        <v>1628.6</v>
      </c>
      <c r="AB191" s="58">
        <v>2023</v>
      </c>
      <c r="AC191" s="103"/>
    </row>
    <row r="192" spans="1:31" s="76" customFormat="1" ht="63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78" t="s">
        <v>177</v>
      </c>
      <c r="S192" s="62" t="s">
        <v>52</v>
      </c>
      <c r="T192" s="3">
        <f>T232</f>
        <v>58.6</v>
      </c>
      <c r="U192" s="3">
        <f t="shared" ref="U192:Z192" si="67">U232+U225+U217+U209+U201</f>
        <v>38.200000000000003</v>
      </c>
      <c r="V192" s="3">
        <f t="shared" si="67"/>
        <v>0</v>
      </c>
      <c r="W192" s="3">
        <f t="shared" si="67"/>
        <v>0</v>
      </c>
      <c r="X192" s="3">
        <f>X232+X225+X217+X209+X201</f>
        <v>8.8000000000000007</v>
      </c>
      <c r="Y192" s="3">
        <f t="shared" si="67"/>
        <v>0</v>
      </c>
      <c r="Z192" s="3">
        <f t="shared" si="67"/>
        <v>0</v>
      </c>
      <c r="AA192" s="6">
        <f>SUM(T192:Z192)</f>
        <v>105.60000000000001</v>
      </c>
      <c r="AB192" s="41">
        <v>2022</v>
      </c>
      <c r="AC192" s="103"/>
    </row>
    <row r="193" spans="1:30" s="76" customFormat="1" ht="31.15" hidden="1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79" t="s">
        <v>51</v>
      </c>
      <c r="S193" s="62"/>
      <c r="T193" s="3">
        <f>T233</f>
        <v>28</v>
      </c>
      <c r="U193" s="3"/>
      <c r="V193" s="3"/>
      <c r="W193" s="3"/>
      <c r="X193" s="3"/>
      <c r="Y193" s="3"/>
      <c r="Z193" s="3"/>
      <c r="AA193" s="6"/>
      <c r="AB193" s="41">
        <v>2020</v>
      </c>
      <c r="AC193" s="103"/>
    </row>
    <row r="194" spans="1:30" s="76" customFormat="1" ht="31.5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80" t="s">
        <v>178</v>
      </c>
      <c r="S194" s="62" t="s">
        <v>38</v>
      </c>
      <c r="T194" s="44">
        <f>T233</f>
        <v>28</v>
      </c>
      <c r="U194" s="44">
        <f>U202+U210+U218+U226+U233</f>
        <v>20</v>
      </c>
      <c r="V194" s="44">
        <f>V202+V210+V218+V226</f>
        <v>0</v>
      </c>
      <c r="W194" s="44">
        <f>W202+W210+W218+W226</f>
        <v>0</v>
      </c>
      <c r="X194" s="44">
        <f>X202+X210+X218+X226</f>
        <v>6</v>
      </c>
      <c r="Y194" s="44">
        <f>Y202+Y210+Y218+Y226</f>
        <v>0</v>
      </c>
      <c r="Z194" s="44">
        <f>Z202+Z210+Z218+Z226</f>
        <v>0</v>
      </c>
      <c r="AA194" s="49">
        <f>SUM(T194:Z194)</f>
        <v>54</v>
      </c>
      <c r="AB194" s="41">
        <v>2022</v>
      </c>
      <c r="AC194" s="103"/>
      <c r="AD194" s="81"/>
    </row>
    <row r="195" spans="1:30" s="133" customFormat="1" ht="47.25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78" t="s">
        <v>339</v>
      </c>
      <c r="S195" s="52" t="s">
        <v>38</v>
      </c>
      <c r="T195" s="44">
        <v>0</v>
      </c>
      <c r="U195" s="44">
        <f>U203+U211+U219+U227</f>
        <v>20</v>
      </c>
      <c r="V195" s="44">
        <f>V203+V211+V219+V227</f>
        <v>14</v>
      </c>
      <c r="W195" s="44">
        <f>W203+W211+W219+W227</f>
        <v>2</v>
      </c>
      <c r="X195" s="44">
        <f>X203+X211+X219+X227</f>
        <v>5</v>
      </c>
      <c r="Y195" s="44">
        <v>0</v>
      </c>
      <c r="Z195" s="44">
        <v>0</v>
      </c>
      <c r="AA195" s="49">
        <f>SUM(T195:Z195)</f>
        <v>41</v>
      </c>
      <c r="AB195" s="41">
        <v>2022</v>
      </c>
      <c r="AC195" s="111"/>
      <c r="AD195" s="132"/>
    </row>
    <row r="196" spans="1:30" s="76" customFormat="1" x14ac:dyDescent="0.25">
      <c r="A196" s="54" t="s">
        <v>18</v>
      </c>
      <c r="B196" s="54" t="s">
        <v>18</v>
      </c>
      <c r="C196" s="54" t="s">
        <v>22</v>
      </c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18</v>
      </c>
      <c r="N196" s="54" t="s">
        <v>18</v>
      </c>
      <c r="O196" s="54" t="s">
        <v>18</v>
      </c>
      <c r="P196" s="54" t="s">
        <v>18</v>
      </c>
      <c r="Q196" s="54" t="s">
        <v>18</v>
      </c>
      <c r="R196" s="165" t="s">
        <v>131</v>
      </c>
      <c r="S196" s="184" t="s">
        <v>0</v>
      </c>
      <c r="T196" s="59">
        <f>SUM(T198:T200)</f>
        <v>0</v>
      </c>
      <c r="U196" s="59">
        <f>SUM(U197:U200)</f>
        <v>26850.299999999996</v>
      </c>
      <c r="V196" s="59">
        <f t="shared" ref="V196:Z196" si="68">SUM(V197:V200)</f>
        <v>48.800000000000011</v>
      </c>
      <c r="W196" s="59">
        <f t="shared" si="68"/>
        <v>112.2</v>
      </c>
      <c r="X196" s="59">
        <f t="shared" si="68"/>
        <v>7402.7</v>
      </c>
      <c r="Y196" s="59">
        <f t="shared" si="68"/>
        <v>0</v>
      </c>
      <c r="Z196" s="59">
        <f t="shared" si="68"/>
        <v>0</v>
      </c>
      <c r="AA196" s="59">
        <f>SUM(T196:Z196)</f>
        <v>34413.999999999993</v>
      </c>
      <c r="AB196" s="58">
        <v>2022</v>
      </c>
      <c r="AC196" s="103"/>
      <c r="AD196" s="81"/>
    </row>
    <row r="197" spans="1:30" s="76" customFormat="1" x14ac:dyDescent="0.25">
      <c r="A197" s="54" t="s">
        <v>18</v>
      </c>
      <c r="B197" s="54" t="s">
        <v>18</v>
      </c>
      <c r="C197" s="54" t="s">
        <v>22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19</v>
      </c>
      <c r="N197" s="54" t="s">
        <v>18</v>
      </c>
      <c r="O197" s="54" t="s">
        <v>169</v>
      </c>
      <c r="P197" s="54" t="s">
        <v>21</v>
      </c>
      <c r="Q197" s="54" t="s">
        <v>25</v>
      </c>
      <c r="R197" s="165"/>
      <c r="S197" s="185"/>
      <c r="T197" s="1">
        <v>0</v>
      </c>
      <c r="U197" s="1">
        <f>16800.1+4329.1</f>
        <v>21129.199999999997</v>
      </c>
      <c r="V197" s="1">
        <v>0</v>
      </c>
      <c r="W197" s="1">
        <v>0</v>
      </c>
      <c r="X197" s="1">
        <v>5758.9</v>
      </c>
      <c r="Y197" s="1">
        <v>0</v>
      </c>
      <c r="Z197" s="1">
        <v>0</v>
      </c>
      <c r="AA197" s="59">
        <f t="shared" ref="AA197" si="69">SUM(T197:Z197)</f>
        <v>26888.1</v>
      </c>
      <c r="AB197" s="58">
        <v>2022</v>
      </c>
      <c r="AC197" s="103"/>
      <c r="AD197" s="81"/>
    </row>
    <row r="198" spans="1:30" s="76" customFormat="1" x14ac:dyDescent="0.25">
      <c r="A198" s="54" t="s">
        <v>18</v>
      </c>
      <c r="B198" s="54" t="s">
        <v>18</v>
      </c>
      <c r="C198" s="54" t="s">
        <v>22</v>
      </c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37</v>
      </c>
      <c r="N198" s="54" t="s">
        <v>18</v>
      </c>
      <c r="O198" s="54" t="s">
        <v>169</v>
      </c>
      <c r="P198" s="54" t="s">
        <v>21</v>
      </c>
      <c r="Q198" s="54" t="s">
        <v>25</v>
      </c>
      <c r="R198" s="165"/>
      <c r="S198" s="185"/>
      <c r="T198" s="1">
        <v>0</v>
      </c>
      <c r="U198" s="1">
        <f>4199.9+2224.5-291-681.9</f>
        <v>5451.5</v>
      </c>
      <c r="V198" s="1">
        <f>2529.4-2529.4</f>
        <v>0</v>
      </c>
      <c r="W198" s="1">
        <f>2800-2800</f>
        <v>0</v>
      </c>
      <c r="X198" s="1">
        <v>1439.7</v>
      </c>
      <c r="Y198" s="1">
        <f t="shared" ref="Y198:Z198" si="70">2800-2800</f>
        <v>0</v>
      </c>
      <c r="Z198" s="1">
        <f t="shared" si="70"/>
        <v>0</v>
      </c>
      <c r="AA198" s="59">
        <f>SUM(T198:Z198)</f>
        <v>6891.2</v>
      </c>
      <c r="AB198" s="58">
        <v>2022</v>
      </c>
      <c r="AC198" s="103"/>
      <c r="AD198" s="81"/>
    </row>
    <row r="199" spans="1:30" s="76" customFormat="1" x14ac:dyDescent="0.25">
      <c r="A199" s="54" t="s">
        <v>18</v>
      </c>
      <c r="B199" s="54" t="s">
        <v>18</v>
      </c>
      <c r="C199" s="54" t="s">
        <v>22</v>
      </c>
      <c r="D199" s="54" t="s">
        <v>18</v>
      </c>
      <c r="E199" s="54" t="s">
        <v>24</v>
      </c>
      <c r="F199" s="54" t="s">
        <v>18</v>
      </c>
      <c r="G199" s="54" t="s">
        <v>43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20</v>
      </c>
      <c r="M199" s="54" t="s">
        <v>18</v>
      </c>
      <c r="N199" s="54" t="s">
        <v>18</v>
      </c>
      <c r="O199" s="54" t="s">
        <v>169</v>
      </c>
      <c r="P199" s="54" t="s">
        <v>21</v>
      </c>
      <c r="Q199" s="54" t="s">
        <v>25</v>
      </c>
      <c r="R199" s="165"/>
      <c r="S199" s="185"/>
      <c r="T199" s="1">
        <v>0</v>
      </c>
      <c r="U199" s="1">
        <v>0</v>
      </c>
      <c r="V199" s="1">
        <v>0</v>
      </c>
      <c r="W199" s="1">
        <v>0</v>
      </c>
      <c r="X199" s="1">
        <v>154.1</v>
      </c>
      <c r="Y199" s="1">
        <v>0</v>
      </c>
      <c r="Z199" s="1">
        <v>0</v>
      </c>
      <c r="AA199" s="59">
        <f>SUM(T199:Z199)</f>
        <v>154.1</v>
      </c>
      <c r="AB199" s="58">
        <v>2022</v>
      </c>
      <c r="AC199" s="103"/>
      <c r="AD199" s="81"/>
    </row>
    <row r="200" spans="1:30" s="76" customFormat="1" x14ac:dyDescent="0.25">
      <c r="A200" s="54" t="s">
        <v>18</v>
      </c>
      <c r="B200" s="54" t="s">
        <v>18</v>
      </c>
      <c r="C200" s="54" t="s">
        <v>22</v>
      </c>
      <c r="D200" s="54" t="s">
        <v>18</v>
      </c>
      <c r="E200" s="54" t="s">
        <v>24</v>
      </c>
      <c r="F200" s="54" t="s">
        <v>18</v>
      </c>
      <c r="G200" s="54" t="s">
        <v>43</v>
      </c>
      <c r="H200" s="54" t="s">
        <v>19</v>
      </c>
      <c r="I200" s="54" t="s">
        <v>24</v>
      </c>
      <c r="J200" s="54" t="s">
        <v>18</v>
      </c>
      <c r="K200" s="54" t="s">
        <v>18</v>
      </c>
      <c r="L200" s="54" t="s">
        <v>20</v>
      </c>
      <c r="M200" s="54" t="s">
        <v>43</v>
      </c>
      <c r="N200" s="54" t="s">
        <v>43</v>
      </c>
      <c r="O200" s="54" t="s">
        <v>43</v>
      </c>
      <c r="P200" s="54" t="s">
        <v>43</v>
      </c>
      <c r="Q200" s="54" t="s">
        <v>43</v>
      </c>
      <c r="R200" s="165"/>
      <c r="S200" s="186"/>
      <c r="T200" s="1">
        <v>0</v>
      </c>
      <c r="U200" s="1">
        <f>164.3-164.3+200+449.4+50.8-371.3-59.3</f>
        <v>269.59999999999991</v>
      </c>
      <c r="V200" s="1">
        <f>270.6-221.8</f>
        <v>48.800000000000011</v>
      </c>
      <c r="W200" s="1">
        <f>0+160-47.8</f>
        <v>112.2</v>
      </c>
      <c r="X200" s="1">
        <v>50</v>
      </c>
      <c r="Y200" s="1">
        <v>0</v>
      </c>
      <c r="Z200" s="1">
        <v>0</v>
      </c>
      <c r="AA200" s="59">
        <f t="shared" ref="AA200" si="71">SUM(T200:Z200)</f>
        <v>480.59999999999991</v>
      </c>
      <c r="AB200" s="58">
        <v>2022</v>
      </c>
      <c r="AC200" s="103"/>
      <c r="AD200" s="81"/>
    </row>
    <row r="201" spans="1:30" s="76" customFormat="1" ht="63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78" t="s">
        <v>282</v>
      </c>
      <c r="S201" s="62" t="s">
        <v>42</v>
      </c>
      <c r="T201" s="3">
        <v>0</v>
      </c>
      <c r="U201" s="3">
        <v>11.6</v>
      </c>
      <c r="V201" s="3">
        <f>6.8-6.8</f>
        <v>0</v>
      </c>
      <c r="W201" s="3">
        <v>0</v>
      </c>
      <c r="X201" s="3">
        <v>2.2000000000000002</v>
      </c>
      <c r="Y201" s="3">
        <v>0</v>
      </c>
      <c r="Z201" s="3">
        <v>0</v>
      </c>
      <c r="AA201" s="6">
        <f>SUM(T201:Z201)</f>
        <v>13.8</v>
      </c>
      <c r="AB201" s="41">
        <v>2022</v>
      </c>
      <c r="AC201" s="103"/>
    </row>
    <row r="202" spans="1:30" s="76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80" t="s">
        <v>283</v>
      </c>
      <c r="S202" s="62" t="s">
        <v>38</v>
      </c>
      <c r="T202" s="44">
        <v>0</v>
      </c>
      <c r="U202" s="44">
        <v>8</v>
      </c>
      <c r="V202" s="44">
        <f>3-3</f>
        <v>0</v>
      </c>
      <c r="W202" s="44">
        <v>0</v>
      </c>
      <c r="X202" s="44">
        <v>1</v>
      </c>
      <c r="Y202" s="44">
        <v>0</v>
      </c>
      <c r="Z202" s="44">
        <v>0</v>
      </c>
      <c r="AA202" s="49">
        <f>SUM(T202:Z202)</f>
        <v>9</v>
      </c>
      <c r="AB202" s="41">
        <v>2022</v>
      </c>
      <c r="AC202" s="103"/>
      <c r="AD202" s="81"/>
    </row>
    <row r="203" spans="1:30" s="133" customFormat="1" ht="63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78" t="s">
        <v>360</v>
      </c>
      <c r="S203" s="52" t="s">
        <v>38</v>
      </c>
      <c r="T203" s="44">
        <v>0</v>
      </c>
      <c r="U203" s="44">
        <v>8</v>
      </c>
      <c r="V203" s="44">
        <v>5</v>
      </c>
      <c r="W203" s="44">
        <v>2</v>
      </c>
      <c r="X203" s="44">
        <v>0</v>
      </c>
      <c r="Y203" s="44">
        <v>0</v>
      </c>
      <c r="Z203" s="44">
        <v>0</v>
      </c>
      <c r="AA203" s="49">
        <f>SUM(T203:Z203)</f>
        <v>15</v>
      </c>
      <c r="AB203" s="41">
        <v>2021</v>
      </c>
      <c r="AC203" s="111"/>
      <c r="AD203" s="132"/>
    </row>
    <row r="204" spans="1:30" s="76" customFormat="1" x14ac:dyDescent="0.25">
      <c r="A204" s="54" t="s">
        <v>18</v>
      </c>
      <c r="B204" s="54" t="s">
        <v>18</v>
      </c>
      <c r="C204" s="54" t="s">
        <v>24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18</v>
      </c>
      <c r="N204" s="54" t="s">
        <v>18</v>
      </c>
      <c r="O204" s="54" t="s">
        <v>18</v>
      </c>
      <c r="P204" s="54" t="s">
        <v>18</v>
      </c>
      <c r="Q204" s="54" t="s">
        <v>18</v>
      </c>
      <c r="R204" s="165" t="s">
        <v>131</v>
      </c>
      <c r="S204" s="184" t="s">
        <v>0</v>
      </c>
      <c r="T204" s="59">
        <f>T206+T208</f>
        <v>0</v>
      </c>
      <c r="U204" s="59">
        <f>SUM(U205:U208)</f>
        <v>22882.399999999998</v>
      </c>
      <c r="V204" s="59">
        <f t="shared" ref="V204:X204" si="72">SUM(V205:V208)</f>
        <v>0</v>
      </c>
      <c r="W204" s="59">
        <f t="shared" si="72"/>
        <v>0</v>
      </c>
      <c r="X204" s="59">
        <f t="shared" si="72"/>
        <v>14726.6</v>
      </c>
      <c r="Y204" s="59">
        <f t="shared" ref="Y204:Z204" si="73">SUM(Y205:Y208)</f>
        <v>0</v>
      </c>
      <c r="Z204" s="59">
        <f t="shared" si="73"/>
        <v>0</v>
      </c>
      <c r="AA204" s="59">
        <f>SUM(T204:Z204)</f>
        <v>37609</v>
      </c>
      <c r="AB204" s="58">
        <v>2022</v>
      </c>
      <c r="AC204" s="103"/>
    </row>
    <row r="205" spans="1:30" s="76" customFormat="1" x14ac:dyDescent="0.25">
      <c r="A205" s="54" t="s">
        <v>18</v>
      </c>
      <c r="B205" s="54" t="s">
        <v>18</v>
      </c>
      <c r="C205" s="54" t="s">
        <v>24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19</v>
      </c>
      <c r="N205" s="54" t="s">
        <v>18</v>
      </c>
      <c r="O205" s="54" t="s">
        <v>169</v>
      </c>
      <c r="P205" s="54" t="s">
        <v>21</v>
      </c>
      <c r="Q205" s="54" t="s">
        <v>25</v>
      </c>
      <c r="R205" s="165"/>
      <c r="S205" s="185"/>
      <c r="T205" s="1">
        <f>T208+T209</f>
        <v>0</v>
      </c>
      <c r="U205" s="1">
        <f>14400.1+2862.7</f>
        <v>17262.8</v>
      </c>
      <c r="V205" s="1">
        <v>0</v>
      </c>
      <c r="W205" s="1">
        <v>0</v>
      </c>
      <c r="X205" s="1">
        <v>11517.2</v>
      </c>
      <c r="Y205" s="1">
        <v>0</v>
      </c>
      <c r="Z205" s="1">
        <v>0</v>
      </c>
      <c r="AA205" s="59">
        <f t="shared" ref="AA205:AA208" si="74">SUM(T205:Z205)</f>
        <v>28780</v>
      </c>
      <c r="AB205" s="58">
        <v>2022</v>
      </c>
      <c r="AC205" s="103"/>
    </row>
    <row r="206" spans="1:30" s="76" customFormat="1" x14ac:dyDescent="0.25">
      <c r="A206" s="54" t="s">
        <v>18</v>
      </c>
      <c r="B206" s="54" t="s">
        <v>18</v>
      </c>
      <c r="C206" s="54" t="s">
        <v>24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37</v>
      </c>
      <c r="N206" s="54" t="s">
        <v>18</v>
      </c>
      <c r="O206" s="54" t="s">
        <v>169</v>
      </c>
      <c r="P206" s="54" t="s">
        <v>21</v>
      </c>
      <c r="Q206" s="54" t="s">
        <v>25</v>
      </c>
      <c r="R206" s="165"/>
      <c r="S206" s="185"/>
      <c r="T206" s="1">
        <v>0</v>
      </c>
      <c r="U206" s="1">
        <f>3599.9+2545.7-290-443.1</f>
        <v>5412.5</v>
      </c>
      <c r="V206" s="1">
        <f>1096.5-1096.5</f>
        <v>0</v>
      </c>
      <c r="W206" s="1">
        <f>1500-1500</f>
        <v>0</v>
      </c>
      <c r="X206" s="1">
        <v>2879.8</v>
      </c>
      <c r="Y206" s="1">
        <f>1500-1500</f>
        <v>0</v>
      </c>
      <c r="Z206" s="1">
        <f>1500-1500</f>
        <v>0</v>
      </c>
      <c r="AA206" s="59">
        <f t="shared" si="74"/>
        <v>8292.2999999999993</v>
      </c>
      <c r="AB206" s="58">
        <v>2022</v>
      </c>
      <c r="AC206" s="103"/>
    </row>
    <row r="207" spans="1:30" s="76" customFormat="1" x14ac:dyDescent="0.25">
      <c r="A207" s="54" t="s">
        <v>18</v>
      </c>
      <c r="B207" s="54" t="s">
        <v>18</v>
      </c>
      <c r="C207" s="54" t="s">
        <v>24</v>
      </c>
      <c r="D207" s="54" t="s">
        <v>18</v>
      </c>
      <c r="E207" s="54" t="s">
        <v>24</v>
      </c>
      <c r="F207" s="54" t="s">
        <v>18</v>
      </c>
      <c r="G207" s="54" t="s">
        <v>43</v>
      </c>
      <c r="H207" s="54" t="s">
        <v>19</v>
      </c>
      <c r="I207" s="54" t="s">
        <v>24</v>
      </c>
      <c r="J207" s="54" t="s">
        <v>18</v>
      </c>
      <c r="K207" s="54" t="s">
        <v>18</v>
      </c>
      <c r="L207" s="54" t="s">
        <v>20</v>
      </c>
      <c r="M207" s="54" t="s">
        <v>18</v>
      </c>
      <c r="N207" s="54" t="s">
        <v>18</v>
      </c>
      <c r="O207" s="54" t="s">
        <v>169</v>
      </c>
      <c r="P207" s="54" t="s">
        <v>21</v>
      </c>
      <c r="Q207" s="54" t="s">
        <v>25</v>
      </c>
      <c r="R207" s="165"/>
      <c r="S207" s="185"/>
      <c r="T207" s="1">
        <v>0</v>
      </c>
      <c r="U207" s="1">
        <v>0</v>
      </c>
      <c r="V207" s="1">
        <v>0</v>
      </c>
      <c r="W207" s="1">
        <f>1500-1500</f>
        <v>0</v>
      </c>
      <c r="X207" s="1">
        <v>329.6</v>
      </c>
      <c r="Y207" s="1">
        <f>1500-1500</f>
        <v>0</v>
      </c>
      <c r="Z207" s="1">
        <f>1500-1500</f>
        <v>0</v>
      </c>
      <c r="AA207" s="59">
        <f t="shared" si="74"/>
        <v>329.6</v>
      </c>
      <c r="AB207" s="58">
        <v>2022</v>
      </c>
      <c r="AC207" s="103"/>
    </row>
    <row r="208" spans="1:30" s="76" customFormat="1" x14ac:dyDescent="0.25">
      <c r="A208" s="54" t="s">
        <v>18</v>
      </c>
      <c r="B208" s="54" t="s">
        <v>18</v>
      </c>
      <c r="C208" s="54" t="s">
        <v>24</v>
      </c>
      <c r="D208" s="54" t="s">
        <v>18</v>
      </c>
      <c r="E208" s="54" t="s">
        <v>24</v>
      </c>
      <c r="F208" s="54" t="s">
        <v>18</v>
      </c>
      <c r="G208" s="54" t="s">
        <v>43</v>
      </c>
      <c r="H208" s="54" t="s">
        <v>19</v>
      </c>
      <c r="I208" s="54" t="s">
        <v>24</v>
      </c>
      <c r="J208" s="54" t="s">
        <v>18</v>
      </c>
      <c r="K208" s="54" t="s">
        <v>18</v>
      </c>
      <c r="L208" s="54" t="s">
        <v>20</v>
      </c>
      <c r="M208" s="54" t="s">
        <v>43</v>
      </c>
      <c r="N208" s="54" t="s">
        <v>43</v>
      </c>
      <c r="O208" s="54" t="s">
        <v>43</v>
      </c>
      <c r="P208" s="54" t="s">
        <v>43</v>
      </c>
      <c r="Q208" s="54" t="s">
        <v>43</v>
      </c>
      <c r="R208" s="165"/>
      <c r="S208" s="186"/>
      <c r="T208" s="1">
        <v>0</v>
      </c>
      <c r="U208" s="1">
        <f>145-145+100+385.2+30.4-308.5</f>
        <v>207.10000000000002</v>
      </c>
      <c r="V208" s="1">
        <f>403.5-403.5</f>
        <v>0</v>
      </c>
      <c r="W208" s="1">
        <v>0</v>
      </c>
      <c r="X208" s="1">
        <v>0</v>
      </c>
      <c r="Y208" s="1">
        <v>0</v>
      </c>
      <c r="Z208" s="1">
        <v>0</v>
      </c>
      <c r="AA208" s="59">
        <f t="shared" si="74"/>
        <v>207.10000000000002</v>
      </c>
      <c r="AB208" s="58">
        <v>2019</v>
      </c>
      <c r="AC208" s="103"/>
    </row>
    <row r="209" spans="1:30" s="76" customFormat="1" ht="63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78" t="s">
        <v>284</v>
      </c>
      <c r="S209" s="62" t="s">
        <v>52</v>
      </c>
      <c r="T209" s="3">
        <v>0</v>
      </c>
      <c r="U209" s="3">
        <v>10.6</v>
      </c>
      <c r="V209" s="3">
        <f>3-3</f>
        <v>0</v>
      </c>
      <c r="W209" s="3">
        <v>0</v>
      </c>
      <c r="X209" s="3">
        <v>3.7</v>
      </c>
      <c r="Y209" s="3">
        <v>0</v>
      </c>
      <c r="Z209" s="3">
        <v>0</v>
      </c>
      <c r="AA209" s="6">
        <f>SUM(T209:Z209)</f>
        <v>14.3</v>
      </c>
      <c r="AB209" s="41">
        <v>2022</v>
      </c>
      <c r="AC209" s="103"/>
    </row>
    <row r="210" spans="1:30" s="76" customFormat="1" ht="47.25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80" t="s">
        <v>285</v>
      </c>
      <c r="S210" s="62" t="s">
        <v>38</v>
      </c>
      <c r="T210" s="44">
        <v>0</v>
      </c>
      <c r="U210" s="44">
        <v>4</v>
      </c>
      <c r="V210" s="44">
        <f>2-2</f>
        <v>0</v>
      </c>
      <c r="W210" s="44">
        <v>0</v>
      </c>
      <c r="X210" s="44">
        <v>3</v>
      </c>
      <c r="Y210" s="44">
        <v>0</v>
      </c>
      <c r="Z210" s="44">
        <v>0</v>
      </c>
      <c r="AA210" s="49">
        <f>SUM(T210:Z210)</f>
        <v>7</v>
      </c>
      <c r="AB210" s="41">
        <v>2022</v>
      </c>
      <c r="AC210" s="103"/>
      <c r="AD210" s="81"/>
    </row>
    <row r="211" spans="1:30" s="133" customFormat="1" ht="63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78" t="s">
        <v>292</v>
      </c>
      <c r="S211" s="52" t="s">
        <v>38</v>
      </c>
      <c r="T211" s="44">
        <v>0</v>
      </c>
      <c r="U211" s="44">
        <v>4</v>
      </c>
      <c r="V211" s="44">
        <v>0</v>
      </c>
      <c r="W211" s="44">
        <v>0</v>
      </c>
      <c r="X211" s="44">
        <v>3</v>
      </c>
      <c r="Y211" s="44">
        <v>0</v>
      </c>
      <c r="Z211" s="44">
        <v>0</v>
      </c>
      <c r="AA211" s="49">
        <f>SUM(T211:Z211)</f>
        <v>7</v>
      </c>
      <c r="AB211" s="41">
        <v>2022</v>
      </c>
      <c r="AC211" s="111"/>
      <c r="AD211" s="132"/>
    </row>
    <row r="212" spans="1:30" s="76" customFormat="1" x14ac:dyDescent="0.25">
      <c r="A212" s="54" t="s">
        <v>18</v>
      </c>
      <c r="B212" s="54" t="s">
        <v>18</v>
      </c>
      <c r="C212" s="54" t="s">
        <v>21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18</v>
      </c>
      <c r="N212" s="54" t="s">
        <v>18</v>
      </c>
      <c r="O212" s="54" t="s">
        <v>18</v>
      </c>
      <c r="P212" s="54" t="s">
        <v>18</v>
      </c>
      <c r="Q212" s="54" t="s">
        <v>18</v>
      </c>
      <c r="R212" s="165" t="s">
        <v>131</v>
      </c>
      <c r="S212" s="184" t="s">
        <v>0</v>
      </c>
      <c r="T212" s="59">
        <f>T214+T216</f>
        <v>0</v>
      </c>
      <c r="U212" s="59">
        <f>SUM(U213:U216)</f>
        <v>25870.1</v>
      </c>
      <c r="V212" s="59">
        <f t="shared" ref="V212:X212" si="75">SUM(V213:V216)</f>
        <v>30</v>
      </c>
      <c r="W212" s="59">
        <f t="shared" si="75"/>
        <v>0</v>
      </c>
      <c r="X212" s="59">
        <f t="shared" si="75"/>
        <v>5337.4</v>
      </c>
      <c r="Y212" s="59">
        <f t="shared" ref="Y212:Z212" si="76">SUM(Y213:Y216)</f>
        <v>0</v>
      </c>
      <c r="Z212" s="59">
        <f t="shared" si="76"/>
        <v>0</v>
      </c>
      <c r="AA212" s="59">
        <f>SUM(T212:Z212)</f>
        <v>31237.5</v>
      </c>
      <c r="AB212" s="58">
        <v>2022</v>
      </c>
      <c r="AC212" s="103"/>
    </row>
    <row r="213" spans="1:30" s="76" customFormat="1" x14ac:dyDescent="0.25">
      <c r="A213" s="54" t="s">
        <v>18</v>
      </c>
      <c r="B213" s="54" t="s">
        <v>18</v>
      </c>
      <c r="C213" s="54" t="s">
        <v>21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19</v>
      </c>
      <c r="N213" s="54" t="s">
        <v>18</v>
      </c>
      <c r="O213" s="54" t="s">
        <v>169</v>
      </c>
      <c r="P213" s="54" t="s">
        <v>21</v>
      </c>
      <c r="Q213" s="54" t="s">
        <v>25</v>
      </c>
      <c r="R213" s="165"/>
      <c r="S213" s="185"/>
      <c r="T213" s="1">
        <v>0</v>
      </c>
      <c r="U213" s="1">
        <f>16800.1+3497.2</f>
        <v>20297.3</v>
      </c>
      <c r="V213" s="1">
        <v>0</v>
      </c>
      <c r="W213" s="1">
        <v>0</v>
      </c>
      <c r="X213" s="1">
        <f>5566.2-1385.8</f>
        <v>4180.3999999999996</v>
      </c>
      <c r="Y213" s="1">
        <v>0</v>
      </c>
      <c r="Z213" s="1">
        <v>0</v>
      </c>
      <c r="AA213" s="59">
        <f t="shared" ref="AA213:AA215" si="77">SUM(T213:Z213)</f>
        <v>24477.699999999997</v>
      </c>
      <c r="AB213" s="58">
        <v>2022</v>
      </c>
      <c r="AC213" s="103"/>
    </row>
    <row r="214" spans="1:30" s="76" customFormat="1" x14ac:dyDescent="0.25">
      <c r="A214" s="54" t="s">
        <v>18</v>
      </c>
      <c r="B214" s="54" t="s">
        <v>18</v>
      </c>
      <c r="C214" s="54" t="s">
        <v>21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37</v>
      </c>
      <c r="N214" s="54" t="s">
        <v>18</v>
      </c>
      <c r="O214" s="54" t="s">
        <v>169</v>
      </c>
      <c r="P214" s="54" t="s">
        <v>21</v>
      </c>
      <c r="Q214" s="54" t="s">
        <v>25</v>
      </c>
      <c r="R214" s="165"/>
      <c r="S214" s="185"/>
      <c r="T214" s="1">
        <v>0</v>
      </c>
      <c r="U214" s="1">
        <f>4199.9+588.4+1708.4-290-845.8</f>
        <v>5360.8999999999987</v>
      </c>
      <c r="V214" s="1">
        <f>1355-1355</f>
        <v>0</v>
      </c>
      <c r="W214" s="1">
        <f>1500-1500</f>
        <v>0</v>
      </c>
      <c r="X214" s="1">
        <v>1045.0999999999999</v>
      </c>
      <c r="Y214" s="1">
        <f>1500-1500</f>
        <v>0</v>
      </c>
      <c r="Z214" s="1">
        <f>1500-1500</f>
        <v>0</v>
      </c>
      <c r="AA214" s="59">
        <f t="shared" si="77"/>
        <v>6405.9999999999982</v>
      </c>
      <c r="AB214" s="58">
        <v>2022</v>
      </c>
      <c r="AC214" s="103"/>
    </row>
    <row r="215" spans="1:30" s="76" customFormat="1" x14ac:dyDescent="0.25">
      <c r="A215" s="54" t="s">
        <v>18</v>
      </c>
      <c r="B215" s="54" t="s">
        <v>18</v>
      </c>
      <c r="C215" s="54" t="s">
        <v>21</v>
      </c>
      <c r="D215" s="54" t="s">
        <v>18</v>
      </c>
      <c r="E215" s="54" t="s">
        <v>24</v>
      </c>
      <c r="F215" s="54" t="s">
        <v>18</v>
      </c>
      <c r="G215" s="54" t="s">
        <v>43</v>
      </c>
      <c r="H215" s="54" t="s">
        <v>19</v>
      </c>
      <c r="I215" s="54" t="s">
        <v>24</v>
      </c>
      <c r="J215" s="54" t="s">
        <v>18</v>
      </c>
      <c r="K215" s="54" t="s">
        <v>18</v>
      </c>
      <c r="L215" s="54" t="s">
        <v>20</v>
      </c>
      <c r="M215" s="54" t="s">
        <v>18</v>
      </c>
      <c r="N215" s="54" t="s">
        <v>18</v>
      </c>
      <c r="O215" s="54" t="s">
        <v>169</v>
      </c>
      <c r="P215" s="54" t="s">
        <v>21</v>
      </c>
      <c r="Q215" s="54" t="s">
        <v>25</v>
      </c>
      <c r="R215" s="165"/>
      <c r="S215" s="185"/>
      <c r="T215" s="1">
        <v>0</v>
      </c>
      <c r="U215" s="1">
        <v>0</v>
      </c>
      <c r="V215" s="1">
        <v>0</v>
      </c>
      <c r="W215" s="1">
        <v>0</v>
      </c>
      <c r="X215" s="1">
        <v>111.9</v>
      </c>
      <c r="Y215" s="1">
        <v>0</v>
      </c>
      <c r="Z215" s="1">
        <v>0</v>
      </c>
      <c r="AA215" s="59">
        <f t="shared" si="77"/>
        <v>111.9</v>
      </c>
      <c r="AB215" s="58">
        <v>2022</v>
      </c>
      <c r="AC215" s="103"/>
    </row>
    <row r="216" spans="1:30" s="76" customFormat="1" x14ac:dyDescent="0.25">
      <c r="A216" s="54" t="s">
        <v>18</v>
      </c>
      <c r="B216" s="54" t="s">
        <v>18</v>
      </c>
      <c r="C216" s="54" t="s">
        <v>21</v>
      </c>
      <c r="D216" s="54" t="s">
        <v>18</v>
      </c>
      <c r="E216" s="54" t="s">
        <v>24</v>
      </c>
      <c r="F216" s="54" t="s">
        <v>18</v>
      </c>
      <c r="G216" s="54" t="s">
        <v>43</v>
      </c>
      <c r="H216" s="54" t="s">
        <v>19</v>
      </c>
      <c r="I216" s="54" t="s">
        <v>24</v>
      </c>
      <c r="J216" s="54" t="s">
        <v>18</v>
      </c>
      <c r="K216" s="54" t="s">
        <v>18</v>
      </c>
      <c r="L216" s="54" t="s">
        <v>20</v>
      </c>
      <c r="M216" s="54" t="s">
        <v>43</v>
      </c>
      <c r="N216" s="54" t="s">
        <v>43</v>
      </c>
      <c r="O216" s="54" t="s">
        <v>43</v>
      </c>
      <c r="P216" s="54" t="s">
        <v>43</v>
      </c>
      <c r="Q216" s="54" t="s">
        <v>43</v>
      </c>
      <c r="R216" s="165"/>
      <c r="S216" s="186"/>
      <c r="T216" s="1">
        <v>0</v>
      </c>
      <c r="U216" s="1">
        <f>145-145+100+449.4+12.6+23.8-373.9</f>
        <v>211.89999999999998</v>
      </c>
      <c r="V216" s="1">
        <f>145-115</f>
        <v>30</v>
      </c>
      <c r="W216" s="1">
        <v>0</v>
      </c>
      <c r="X216" s="1">
        <v>0</v>
      </c>
      <c r="Y216" s="1">
        <v>0</v>
      </c>
      <c r="Z216" s="1">
        <v>0</v>
      </c>
      <c r="AA216" s="59">
        <f>SUM(T216:Z216)</f>
        <v>241.89999999999998</v>
      </c>
      <c r="AB216" s="58">
        <v>2020</v>
      </c>
      <c r="AC216" s="103"/>
    </row>
    <row r="217" spans="1:30" s="76" customFormat="1" ht="63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286</v>
      </c>
      <c r="S217" s="62" t="s">
        <v>52</v>
      </c>
      <c r="T217" s="44">
        <v>0</v>
      </c>
      <c r="U217" s="3">
        <v>11.9</v>
      </c>
      <c r="V217" s="3">
        <f>4-4</f>
        <v>0</v>
      </c>
      <c r="W217" s="3">
        <v>0</v>
      </c>
      <c r="X217" s="3">
        <v>1.9</v>
      </c>
      <c r="Y217" s="3">
        <v>0</v>
      </c>
      <c r="Z217" s="3">
        <v>0</v>
      </c>
      <c r="AA217" s="49">
        <f>SUM(T217:Z217)</f>
        <v>13.8</v>
      </c>
      <c r="AB217" s="41">
        <v>2022</v>
      </c>
      <c r="AC217" s="103"/>
    </row>
    <row r="218" spans="1:30" s="76" customFormat="1" ht="47.25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80" t="s">
        <v>287</v>
      </c>
      <c r="S218" s="62" t="s">
        <v>38</v>
      </c>
      <c r="T218" s="44">
        <v>0</v>
      </c>
      <c r="U218" s="44">
        <v>3</v>
      </c>
      <c r="V218" s="44">
        <f>3-3</f>
        <v>0</v>
      </c>
      <c r="W218" s="44">
        <v>0</v>
      </c>
      <c r="X218" s="44">
        <v>1</v>
      </c>
      <c r="Y218" s="44">
        <v>0</v>
      </c>
      <c r="Z218" s="44">
        <v>0</v>
      </c>
      <c r="AA218" s="49">
        <f>SUM(T218:Z218)</f>
        <v>4</v>
      </c>
      <c r="AB218" s="41">
        <v>2022</v>
      </c>
      <c r="AC218" s="103"/>
      <c r="AD218" s="81"/>
    </row>
    <row r="219" spans="1:30" s="133" customFormat="1" ht="63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78" t="s">
        <v>293</v>
      </c>
      <c r="S219" s="52" t="s">
        <v>38</v>
      </c>
      <c r="T219" s="44">
        <v>0</v>
      </c>
      <c r="U219" s="44">
        <v>3</v>
      </c>
      <c r="V219" s="44">
        <v>1</v>
      </c>
      <c r="W219" s="44">
        <v>0</v>
      </c>
      <c r="X219" s="44">
        <v>1</v>
      </c>
      <c r="Y219" s="44">
        <v>0</v>
      </c>
      <c r="Z219" s="44">
        <v>0</v>
      </c>
      <c r="AA219" s="49">
        <f>SUM(T219:Z219)</f>
        <v>5</v>
      </c>
      <c r="AB219" s="41">
        <v>2022</v>
      </c>
      <c r="AC219" s="111"/>
      <c r="AD219" s="132"/>
    </row>
    <row r="220" spans="1:30" s="76" customFormat="1" x14ac:dyDescent="0.25">
      <c r="A220" s="54" t="s">
        <v>18</v>
      </c>
      <c r="B220" s="54" t="s">
        <v>18</v>
      </c>
      <c r="C220" s="54" t="s">
        <v>25</v>
      </c>
      <c r="D220" s="54" t="s">
        <v>18</v>
      </c>
      <c r="E220" s="54" t="s">
        <v>24</v>
      </c>
      <c r="F220" s="54" t="s">
        <v>18</v>
      </c>
      <c r="G220" s="54" t="s">
        <v>43</v>
      </c>
      <c r="H220" s="54" t="s">
        <v>19</v>
      </c>
      <c r="I220" s="54" t="s">
        <v>24</v>
      </c>
      <c r="J220" s="54" t="s">
        <v>18</v>
      </c>
      <c r="K220" s="54" t="s">
        <v>18</v>
      </c>
      <c r="L220" s="54" t="s">
        <v>20</v>
      </c>
      <c r="M220" s="54" t="s">
        <v>18</v>
      </c>
      <c r="N220" s="54" t="s">
        <v>18</v>
      </c>
      <c r="O220" s="54" t="s">
        <v>18</v>
      </c>
      <c r="P220" s="54" t="s">
        <v>18</v>
      </c>
      <c r="Q220" s="54" t="s">
        <v>18</v>
      </c>
      <c r="R220" s="165" t="s">
        <v>131</v>
      </c>
      <c r="S220" s="184" t="s">
        <v>0</v>
      </c>
      <c r="T220" s="59">
        <f>T222+T224</f>
        <v>0</v>
      </c>
      <c r="U220" s="59">
        <f>SUM(U221:U224)</f>
        <v>10158.9</v>
      </c>
      <c r="V220" s="59">
        <f t="shared" ref="V220:X220" si="78">SUM(V221:V224)</f>
        <v>491</v>
      </c>
      <c r="W220" s="59">
        <f t="shared" si="78"/>
        <v>0</v>
      </c>
      <c r="X220" s="59">
        <f t="shared" si="78"/>
        <v>4086.8</v>
      </c>
      <c r="Y220" s="59">
        <f t="shared" ref="Y220:Z220" si="79">SUM(Y221:Y224)</f>
        <v>0</v>
      </c>
      <c r="Z220" s="59">
        <f t="shared" si="79"/>
        <v>0</v>
      </c>
      <c r="AA220" s="59">
        <f t="shared" ref="AA220:AA224" si="80">SUM(T220:Z220)</f>
        <v>14736.7</v>
      </c>
      <c r="AB220" s="58">
        <v>2022</v>
      </c>
      <c r="AC220" s="103"/>
    </row>
    <row r="221" spans="1:30" s="76" customFormat="1" x14ac:dyDescent="0.25">
      <c r="A221" s="54" t="s">
        <v>18</v>
      </c>
      <c r="B221" s="54" t="s">
        <v>18</v>
      </c>
      <c r="C221" s="54" t="s">
        <v>25</v>
      </c>
      <c r="D221" s="54" t="s">
        <v>18</v>
      </c>
      <c r="E221" s="54" t="s">
        <v>24</v>
      </c>
      <c r="F221" s="54" t="s">
        <v>18</v>
      </c>
      <c r="G221" s="54" t="s">
        <v>43</v>
      </c>
      <c r="H221" s="54" t="s">
        <v>19</v>
      </c>
      <c r="I221" s="54" t="s">
        <v>24</v>
      </c>
      <c r="J221" s="54" t="s">
        <v>18</v>
      </c>
      <c r="K221" s="54" t="s">
        <v>18</v>
      </c>
      <c r="L221" s="54" t="s">
        <v>20</v>
      </c>
      <c r="M221" s="54" t="s">
        <v>19</v>
      </c>
      <c r="N221" s="54" t="s">
        <v>18</v>
      </c>
      <c r="O221" s="54" t="s">
        <v>169</v>
      </c>
      <c r="P221" s="54" t="s">
        <v>21</v>
      </c>
      <c r="Q221" s="54" t="s">
        <v>25</v>
      </c>
      <c r="R221" s="165"/>
      <c r="S221" s="185"/>
      <c r="T221" s="1">
        <v>0</v>
      </c>
      <c r="U221" s="1">
        <f>9600-1604.2</f>
        <v>7995.8</v>
      </c>
      <c r="V221" s="1">
        <v>0</v>
      </c>
      <c r="W221" s="1">
        <v>0</v>
      </c>
      <c r="X221" s="1">
        <v>3184.8</v>
      </c>
      <c r="Y221" s="1">
        <v>0</v>
      </c>
      <c r="Z221" s="1">
        <v>0</v>
      </c>
      <c r="AA221" s="59">
        <f t="shared" si="80"/>
        <v>11180.6</v>
      </c>
      <c r="AB221" s="58">
        <v>2022</v>
      </c>
      <c r="AC221" s="103"/>
    </row>
    <row r="222" spans="1:30" s="76" customFormat="1" x14ac:dyDescent="0.25">
      <c r="A222" s="54" t="s">
        <v>18</v>
      </c>
      <c r="B222" s="54" t="s">
        <v>18</v>
      </c>
      <c r="C222" s="54" t="s">
        <v>25</v>
      </c>
      <c r="D222" s="54" t="s">
        <v>18</v>
      </c>
      <c r="E222" s="54" t="s">
        <v>24</v>
      </c>
      <c r="F222" s="54" t="s">
        <v>18</v>
      </c>
      <c r="G222" s="54" t="s">
        <v>43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37</v>
      </c>
      <c r="N222" s="54" t="s">
        <v>18</v>
      </c>
      <c r="O222" s="54" t="s">
        <v>169</v>
      </c>
      <c r="P222" s="54" t="s">
        <v>21</v>
      </c>
      <c r="Q222" s="54" t="s">
        <v>25</v>
      </c>
      <c r="R222" s="165"/>
      <c r="S222" s="185"/>
      <c r="T222" s="1">
        <v>0</v>
      </c>
      <c r="U222" s="1">
        <f>2401-402-43.9</f>
        <v>1955.1</v>
      </c>
      <c r="V222" s="1">
        <f>798.8-798.8</f>
        <v>0</v>
      </c>
      <c r="W222" s="1">
        <f>1500-1500</f>
        <v>0</v>
      </c>
      <c r="X222" s="1">
        <v>796.2</v>
      </c>
      <c r="Y222" s="1">
        <f>1500-1500</f>
        <v>0</v>
      </c>
      <c r="Z222" s="1">
        <f>1500-1500</f>
        <v>0</v>
      </c>
      <c r="AA222" s="59">
        <f t="shared" si="80"/>
        <v>2751.3</v>
      </c>
      <c r="AB222" s="58">
        <v>2022</v>
      </c>
      <c r="AC222" s="103"/>
    </row>
    <row r="223" spans="1:30" s="76" customFormat="1" x14ac:dyDescent="0.25">
      <c r="A223" s="54" t="s">
        <v>18</v>
      </c>
      <c r="B223" s="54" t="s">
        <v>18</v>
      </c>
      <c r="C223" s="54" t="s">
        <v>25</v>
      </c>
      <c r="D223" s="54" t="s">
        <v>18</v>
      </c>
      <c r="E223" s="54" t="s">
        <v>24</v>
      </c>
      <c r="F223" s="54" t="s">
        <v>18</v>
      </c>
      <c r="G223" s="54" t="s">
        <v>43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18</v>
      </c>
      <c r="N223" s="54" t="s">
        <v>18</v>
      </c>
      <c r="O223" s="54" t="s">
        <v>169</v>
      </c>
      <c r="P223" s="54" t="s">
        <v>21</v>
      </c>
      <c r="Q223" s="54" t="s">
        <v>25</v>
      </c>
      <c r="R223" s="165"/>
      <c r="S223" s="185"/>
      <c r="T223" s="1">
        <v>0</v>
      </c>
      <c r="U223" s="1">
        <v>0</v>
      </c>
      <c r="V223" s="1">
        <v>0</v>
      </c>
      <c r="W223" s="1">
        <v>0</v>
      </c>
      <c r="X223" s="1">
        <v>105.8</v>
      </c>
      <c r="Y223" s="1">
        <v>0</v>
      </c>
      <c r="Z223" s="1">
        <v>0</v>
      </c>
      <c r="AA223" s="59">
        <f t="shared" si="80"/>
        <v>105.8</v>
      </c>
      <c r="AB223" s="58">
        <v>2022</v>
      </c>
      <c r="AC223" s="103"/>
    </row>
    <row r="224" spans="1:30" s="76" customFormat="1" x14ac:dyDescent="0.25">
      <c r="A224" s="54" t="s">
        <v>18</v>
      </c>
      <c r="B224" s="54" t="s">
        <v>18</v>
      </c>
      <c r="C224" s="54" t="s">
        <v>25</v>
      </c>
      <c r="D224" s="54" t="s">
        <v>18</v>
      </c>
      <c r="E224" s="54" t="s">
        <v>24</v>
      </c>
      <c r="F224" s="54" t="s">
        <v>18</v>
      </c>
      <c r="G224" s="54" t="s">
        <v>43</v>
      </c>
      <c r="H224" s="54" t="s">
        <v>19</v>
      </c>
      <c r="I224" s="54" t="s">
        <v>24</v>
      </c>
      <c r="J224" s="54" t="s">
        <v>18</v>
      </c>
      <c r="K224" s="54" t="s">
        <v>18</v>
      </c>
      <c r="L224" s="54" t="s">
        <v>20</v>
      </c>
      <c r="M224" s="54" t="s">
        <v>43</v>
      </c>
      <c r="N224" s="54" t="s">
        <v>43</v>
      </c>
      <c r="O224" s="54" t="s">
        <v>43</v>
      </c>
      <c r="P224" s="54" t="s">
        <v>43</v>
      </c>
      <c r="Q224" s="54" t="s">
        <v>43</v>
      </c>
      <c r="R224" s="165"/>
      <c r="S224" s="186"/>
      <c r="T224" s="1">
        <v>0</v>
      </c>
      <c r="U224" s="1">
        <f>356.9+402-550.9</f>
        <v>208</v>
      </c>
      <c r="V224" s="1">
        <f>701.2-88.6-121.6</f>
        <v>491</v>
      </c>
      <c r="W224" s="1">
        <v>0</v>
      </c>
      <c r="X224" s="1">
        <v>0</v>
      </c>
      <c r="Y224" s="1">
        <v>0</v>
      </c>
      <c r="Z224" s="1">
        <v>0</v>
      </c>
      <c r="AA224" s="59">
        <f t="shared" si="80"/>
        <v>699</v>
      </c>
      <c r="AB224" s="58">
        <v>2020</v>
      </c>
      <c r="AC224" s="103"/>
    </row>
    <row r="225" spans="1:31" s="76" customFormat="1" ht="63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78" t="s">
        <v>288</v>
      </c>
      <c r="S225" s="62" t="s">
        <v>52</v>
      </c>
      <c r="T225" s="3">
        <v>0</v>
      </c>
      <c r="U225" s="3">
        <v>4.0999999999999996</v>
      </c>
      <c r="V225" s="3">
        <f>1.3-1.3</f>
        <v>0</v>
      </c>
      <c r="W225" s="3">
        <v>0</v>
      </c>
      <c r="X225" s="3">
        <v>1</v>
      </c>
      <c r="Y225" s="3">
        <v>0</v>
      </c>
      <c r="Z225" s="3">
        <v>0</v>
      </c>
      <c r="AA225" s="6">
        <f>SUM(T225:Z225)</f>
        <v>5.0999999999999996</v>
      </c>
      <c r="AB225" s="41">
        <v>2022</v>
      </c>
      <c r="AC225" s="103"/>
    </row>
    <row r="226" spans="1:31" s="76" customFormat="1" ht="4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80" t="s">
        <v>289</v>
      </c>
      <c r="S226" s="62" t="s">
        <v>38</v>
      </c>
      <c r="T226" s="44">
        <v>0</v>
      </c>
      <c r="U226" s="44">
        <v>5</v>
      </c>
      <c r="V226" s="44">
        <f>1-1</f>
        <v>0</v>
      </c>
      <c r="W226" s="44">
        <v>0</v>
      </c>
      <c r="X226" s="44">
        <v>1</v>
      </c>
      <c r="Y226" s="44">
        <v>0</v>
      </c>
      <c r="Z226" s="44">
        <v>0</v>
      </c>
      <c r="AA226" s="6">
        <f t="shared" ref="AA226:AA227" si="81">SUM(T226:Z226)</f>
        <v>6</v>
      </c>
      <c r="AB226" s="41">
        <v>2022</v>
      </c>
      <c r="AC226" s="103"/>
      <c r="AD226" s="81"/>
    </row>
    <row r="227" spans="1:31" s="133" customFormat="1" ht="63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78" t="s">
        <v>338</v>
      </c>
      <c r="S227" s="52" t="s">
        <v>38</v>
      </c>
      <c r="T227" s="44">
        <v>0</v>
      </c>
      <c r="U227" s="44">
        <v>5</v>
      </c>
      <c r="V227" s="44">
        <v>8</v>
      </c>
      <c r="W227" s="44">
        <v>0</v>
      </c>
      <c r="X227" s="44">
        <v>1</v>
      </c>
      <c r="Y227" s="44">
        <v>0</v>
      </c>
      <c r="Z227" s="44">
        <v>0</v>
      </c>
      <c r="AA227" s="49">
        <f t="shared" si="81"/>
        <v>14</v>
      </c>
      <c r="AB227" s="41">
        <v>2022</v>
      </c>
      <c r="AC227" s="111"/>
      <c r="AD227" s="132"/>
    </row>
    <row r="228" spans="1:31" s="76" customFormat="1" ht="19.149999999999999" customHeight="1" x14ac:dyDescent="0.25">
      <c r="A228" s="54" t="s">
        <v>18</v>
      </c>
      <c r="B228" s="54" t="s">
        <v>19</v>
      </c>
      <c r="C228" s="54" t="s">
        <v>20</v>
      </c>
      <c r="D228" s="54" t="s">
        <v>18</v>
      </c>
      <c r="E228" s="54" t="s">
        <v>24</v>
      </c>
      <c r="F228" s="54" t="s">
        <v>18</v>
      </c>
      <c r="G228" s="54" t="s">
        <v>43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18</v>
      </c>
      <c r="N228" s="54" t="s">
        <v>18</v>
      </c>
      <c r="O228" s="54" t="s">
        <v>18</v>
      </c>
      <c r="P228" s="54" t="s">
        <v>18</v>
      </c>
      <c r="Q228" s="54" t="s">
        <v>18</v>
      </c>
      <c r="R228" s="165" t="s">
        <v>131</v>
      </c>
      <c r="S228" s="184" t="s">
        <v>0</v>
      </c>
      <c r="T228" s="59">
        <f t="shared" ref="T228:Z228" si="82">SUM(T229:T231)</f>
        <v>123487.5</v>
      </c>
      <c r="U228" s="59">
        <f t="shared" si="82"/>
        <v>579.5</v>
      </c>
      <c r="V228" s="59">
        <f t="shared" si="82"/>
        <v>0</v>
      </c>
      <c r="W228" s="59">
        <f t="shared" si="82"/>
        <v>0</v>
      </c>
      <c r="X228" s="59">
        <f t="shared" si="82"/>
        <v>0</v>
      </c>
      <c r="Y228" s="59">
        <f t="shared" si="82"/>
        <v>0</v>
      </c>
      <c r="Z228" s="59">
        <f t="shared" si="82"/>
        <v>0</v>
      </c>
      <c r="AA228" s="59">
        <f t="shared" ref="AA228:AA233" si="83">SUM(T228:Z228)</f>
        <v>124067</v>
      </c>
      <c r="AB228" s="58">
        <v>2019</v>
      </c>
      <c r="AC228" s="120"/>
    </row>
    <row r="229" spans="1:31" s="76" customFormat="1" ht="19.149999999999999" customHeight="1" x14ac:dyDescent="0.25">
      <c r="A229" s="54" t="s">
        <v>18</v>
      </c>
      <c r="B229" s="54" t="s">
        <v>19</v>
      </c>
      <c r="C229" s="54" t="s">
        <v>20</v>
      </c>
      <c r="D229" s="54" t="s">
        <v>18</v>
      </c>
      <c r="E229" s="54" t="s">
        <v>24</v>
      </c>
      <c r="F229" s="54" t="s">
        <v>18</v>
      </c>
      <c r="G229" s="54" t="s">
        <v>43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19</v>
      </c>
      <c r="N229" s="54" t="s">
        <v>18</v>
      </c>
      <c r="O229" s="54" t="s">
        <v>169</v>
      </c>
      <c r="P229" s="54" t="s">
        <v>21</v>
      </c>
      <c r="Q229" s="54" t="s">
        <v>25</v>
      </c>
      <c r="R229" s="165"/>
      <c r="S229" s="185"/>
      <c r="T229" s="1">
        <v>78128.899999999994</v>
      </c>
      <c r="U229" s="1">
        <f>57600.3-57600.3</f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59">
        <f t="shared" si="83"/>
        <v>78128.899999999994</v>
      </c>
      <c r="AB229" s="58">
        <v>2018</v>
      </c>
      <c r="AC229" s="33"/>
    </row>
    <row r="230" spans="1:31" s="76" customFormat="1" ht="19.149999999999999" customHeight="1" x14ac:dyDescent="0.25">
      <c r="A230" s="54" t="s">
        <v>18</v>
      </c>
      <c r="B230" s="54" t="s">
        <v>19</v>
      </c>
      <c r="C230" s="54" t="s">
        <v>20</v>
      </c>
      <c r="D230" s="54" t="s">
        <v>18</v>
      </c>
      <c r="E230" s="54" t="s">
        <v>24</v>
      </c>
      <c r="F230" s="54" t="s">
        <v>18</v>
      </c>
      <c r="G230" s="54" t="s">
        <v>43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37</v>
      </c>
      <c r="N230" s="54" t="s">
        <v>18</v>
      </c>
      <c r="O230" s="54" t="s">
        <v>169</v>
      </c>
      <c r="P230" s="54" t="s">
        <v>21</v>
      </c>
      <c r="Q230" s="54" t="s">
        <v>25</v>
      </c>
      <c r="R230" s="165"/>
      <c r="S230" s="185"/>
      <c r="T230" s="1">
        <f>18932.6+19997.4+4074.8+2495.5-26-605.7-796.8</f>
        <v>44071.8</v>
      </c>
      <c r="U230" s="1">
        <f>0+14400.7-14400.7</f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59">
        <f t="shared" si="83"/>
        <v>44071.8</v>
      </c>
      <c r="AB230" s="58">
        <v>2018</v>
      </c>
      <c r="AC230" s="33"/>
    </row>
    <row r="231" spans="1:31" s="76" customFormat="1" ht="19.149999999999999" customHeight="1" x14ac:dyDescent="0.25">
      <c r="A231" s="54" t="s">
        <v>18</v>
      </c>
      <c r="B231" s="54" t="s">
        <v>19</v>
      </c>
      <c r="C231" s="54" t="s">
        <v>20</v>
      </c>
      <c r="D231" s="54" t="s">
        <v>18</v>
      </c>
      <c r="E231" s="54" t="s">
        <v>24</v>
      </c>
      <c r="F231" s="54" t="s">
        <v>18</v>
      </c>
      <c r="G231" s="54" t="s">
        <v>43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43</v>
      </c>
      <c r="N231" s="54" t="s">
        <v>43</v>
      </c>
      <c r="O231" s="54" t="s">
        <v>43</v>
      </c>
      <c r="P231" s="54" t="s">
        <v>43</v>
      </c>
      <c r="Q231" s="54" t="s">
        <v>43</v>
      </c>
      <c r="R231" s="165"/>
      <c r="S231" s="186"/>
      <c r="T231" s="1">
        <f>2076.9+439-203.1-904.8-121.2</f>
        <v>1286.8000000000002</v>
      </c>
      <c r="U231" s="1">
        <v>579.5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59">
        <f t="shared" si="83"/>
        <v>1866.3000000000002</v>
      </c>
      <c r="AB231" s="58">
        <v>2019</v>
      </c>
      <c r="AC231" s="33"/>
    </row>
    <row r="232" spans="1:31" s="133" customFormat="1" ht="63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78" t="s">
        <v>290</v>
      </c>
      <c r="S232" s="52" t="s">
        <v>52</v>
      </c>
      <c r="T232" s="3">
        <v>58.6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6">
        <f t="shared" si="83"/>
        <v>58.6</v>
      </c>
      <c r="AB232" s="41">
        <v>2018</v>
      </c>
      <c r="AC232" s="111"/>
    </row>
    <row r="233" spans="1:31" s="133" customFormat="1" ht="47.25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78" t="s">
        <v>291</v>
      </c>
      <c r="S233" s="52" t="s">
        <v>38</v>
      </c>
      <c r="T233" s="44">
        <v>28</v>
      </c>
      <c r="U233" s="44">
        <v>0</v>
      </c>
      <c r="V233" s="44">
        <v>0</v>
      </c>
      <c r="W233" s="44">
        <v>0</v>
      </c>
      <c r="X233" s="44">
        <v>0</v>
      </c>
      <c r="Y233" s="44">
        <v>0</v>
      </c>
      <c r="Z233" s="44">
        <v>0</v>
      </c>
      <c r="AA233" s="49">
        <f t="shared" si="83"/>
        <v>28</v>
      </c>
      <c r="AB233" s="41">
        <v>2018</v>
      </c>
      <c r="AC233" s="111"/>
      <c r="AD233" s="132"/>
    </row>
    <row r="234" spans="1:31" s="76" customFormat="1" ht="31.5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77" t="s">
        <v>175</v>
      </c>
      <c r="S234" s="55" t="s">
        <v>49</v>
      </c>
      <c r="T234" s="56">
        <v>1</v>
      </c>
      <c r="U234" s="56">
        <v>1</v>
      </c>
      <c r="V234" s="56">
        <v>1</v>
      </c>
      <c r="W234" s="56">
        <v>1</v>
      </c>
      <c r="X234" s="56">
        <v>1</v>
      </c>
      <c r="Y234" s="56">
        <v>1</v>
      </c>
      <c r="Z234" s="56">
        <v>1</v>
      </c>
      <c r="AA234" s="57">
        <v>1</v>
      </c>
      <c r="AB234" s="58">
        <v>2024</v>
      </c>
      <c r="AC234" s="33"/>
    </row>
    <row r="235" spans="1:31" ht="31.5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78" t="s">
        <v>132</v>
      </c>
      <c r="S235" s="41" t="s">
        <v>50</v>
      </c>
      <c r="T235" s="44">
        <f>25+19+31+16</f>
        <v>91</v>
      </c>
      <c r="U235" s="44">
        <f>6+15+31+5</f>
        <v>57</v>
      </c>
      <c r="V235" s="44">
        <f>50+19+31+70-60-49</f>
        <v>61</v>
      </c>
      <c r="W235" s="44">
        <f>2+15+31+30</f>
        <v>78</v>
      </c>
      <c r="X235" s="44">
        <f t="shared" ref="X235:Z235" si="84">50+19+31+70-60-49</f>
        <v>61</v>
      </c>
      <c r="Y235" s="44">
        <f t="shared" si="84"/>
        <v>61</v>
      </c>
      <c r="Z235" s="44">
        <f t="shared" si="84"/>
        <v>61</v>
      </c>
      <c r="AA235" s="49">
        <f>SUM(T235:Z235)</f>
        <v>470</v>
      </c>
      <c r="AB235" s="41">
        <v>2024</v>
      </c>
      <c r="AC235" s="128"/>
      <c r="AD235" s="101"/>
      <c r="AE235" s="101"/>
    </row>
    <row r="236" spans="1:31" ht="31.5" x14ac:dyDescent="0.25">
      <c r="A236" s="54"/>
      <c r="B236" s="54"/>
      <c r="C236" s="54"/>
      <c r="D236" s="54"/>
      <c r="E236" s="54"/>
      <c r="F236" s="54"/>
      <c r="G236" s="54"/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18</v>
      </c>
      <c r="N236" s="54" t="s">
        <v>18</v>
      </c>
      <c r="O236" s="54" t="s">
        <v>18</v>
      </c>
      <c r="P236" s="54" t="s">
        <v>18</v>
      </c>
      <c r="Q236" s="54" t="s">
        <v>18</v>
      </c>
      <c r="R236" s="77" t="s">
        <v>133</v>
      </c>
      <c r="S236" s="58" t="s">
        <v>0</v>
      </c>
      <c r="T236" s="59">
        <f>T239+T286+T424+T329+T501</f>
        <v>22266.715</v>
      </c>
      <c r="U236" s="59">
        <f>U239+U286+U424+U329+U501</f>
        <v>22466.400000000001</v>
      </c>
      <c r="V236" s="59">
        <f>V239+V286+V424+V329+V501</f>
        <v>7085.3</v>
      </c>
      <c r="W236" s="59">
        <f>W239+W286+W424+W329+W501</f>
        <v>17341.099999999999</v>
      </c>
      <c r="X236" s="59">
        <f>X239+X286+X424+X329+X501</f>
        <v>11008.699999999999</v>
      </c>
      <c r="Y236" s="59">
        <v>0</v>
      </c>
      <c r="Z236" s="59">
        <v>0</v>
      </c>
      <c r="AA236" s="59">
        <f>SUM(T236:Z236)</f>
        <v>80168.215000000011</v>
      </c>
      <c r="AB236" s="58">
        <v>2022</v>
      </c>
      <c r="AC236" s="37"/>
      <c r="AD236" s="101"/>
      <c r="AE236" s="101"/>
    </row>
    <row r="237" spans="1:31" ht="31.5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80" t="s">
        <v>179</v>
      </c>
      <c r="S237" s="62" t="s">
        <v>52</v>
      </c>
      <c r="T237" s="3">
        <f>T296+T341+T433</f>
        <v>4.4000000000000004</v>
      </c>
      <c r="U237" s="3">
        <f>U296+U341+U433+U249</f>
        <v>4</v>
      </c>
      <c r="V237" s="3">
        <f>V296+V341+V433+V249</f>
        <v>1.7000000000000002</v>
      </c>
      <c r="W237" s="3">
        <f>W296+W341+W433+W249</f>
        <v>4.6000000000000005</v>
      </c>
      <c r="X237" s="3">
        <f>X296+X341+X433+X249</f>
        <v>3.8000000000000003</v>
      </c>
      <c r="Y237" s="3">
        <f>Y296+Y341+Y433+Y249</f>
        <v>0</v>
      </c>
      <c r="Z237" s="3">
        <v>0</v>
      </c>
      <c r="AA237" s="6">
        <f>SUM(T237:Z237)</f>
        <v>18.500000000000004</v>
      </c>
      <c r="AB237" s="41">
        <v>2022</v>
      </c>
      <c r="AC237" s="9"/>
      <c r="AD237" s="101"/>
      <c r="AE237" s="101"/>
    </row>
    <row r="238" spans="1:31" ht="31.5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61" t="s">
        <v>176</v>
      </c>
      <c r="S238" s="41" t="s">
        <v>50</v>
      </c>
      <c r="T238" s="44">
        <f t="shared" ref="T238:Y238" si="85">T250+T297+T342+T435</f>
        <v>30</v>
      </c>
      <c r="U238" s="44">
        <f t="shared" si="85"/>
        <v>22</v>
      </c>
      <c r="V238" s="44">
        <f t="shared" si="85"/>
        <v>7</v>
      </c>
      <c r="W238" s="44">
        <f t="shared" si="85"/>
        <v>15</v>
      </c>
      <c r="X238" s="44">
        <f>X250+X297+X342+X435</f>
        <v>6</v>
      </c>
      <c r="Y238" s="44">
        <f t="shared" si="85"/>
        <v>0</v>
      </c>
      <c r="Z238" s="44">
        <v>0</v>
      </c>
      <c r="AA238" s="49">
        <f>SUM(T238:Z238)</f>
        <v>80</v>
      </c>
      <c r="AB238" s="41">
        <v>2022</v>
      </c>
      <c r="AC238" s="9"/>
      <c r="AD238" s="101"/>
      <c r="AE238" s="101"/>
    </row>
    <row r="239" spans="1:31" x14ac:dyDescent="0.25">
      <c r="A239" s="54" t="s">
        <v>18</v>
      </c>
      <c r="B239" s="54" t="s">
        <v>18</v>
      </c>
      <c r="C239" s="54" t="s">
        <v>22</v>
      </c>
      <c r="D239" s="54" t="s">
        <v>18</v>
      </c>
      <c r="E239" s="54" t="s">
        <v>18</v>
      </c>
      <c r="F239" s="54" t="s">
        <v>18</v>
      </c>
      <c r="G239" s="54" t="s">
        <v>18</v>
      </c>
      <c r="H239" s="54" t="s">
        <v>19</v>
      </c>
      <c r="I239" s="54" t="s">
        <v>24</v>
      </c>
      <c r="J239" s="54" t="s">
        <v>18</v>
      </c>
      <c r="K239" s="54" t="s">
        <v>18</v>
      </c>
      <c r="L239" s="54" t="s">
        <v>20</v>
      </c>
      <c r="M239" s="54" t="s">
        <v>18</v>
      </c>
      <c r="N239" s="54" t="s">
        <v>18</v>
      </c>
      <c r="O239" s="54" t="s">
        <v>18</v>
      </c>
      <c r="P239" s="54" t="s">
        <v>18</v>
      </c>
      <c r="Q239" s="54" t="s">
        <v>18</v>
      </c>
      <c r="R239" s="159" t="s">
        <v>133</v>
      </c>
      <c r="S239" s="162" t="s">
        <v>0</v>
      </c>
      <c r="T239" s="59">
        <f t="shared" ref="T239:V239" si="86">SUM(T240:T244)</f>
        <v>2922.6</v>
      </c>
      <c r="U239" s="59">
        <f t="shared" si="86"/>
        <v>6574.9</v>
      </c>
      <c r="V239" s="59">
        <f t="shared" si="86"/>
        <v>3964.5</v>
      </c>
      <c r="W239" s="59">
        <f>SUM(W240:W247)</f>
        <v>1826.6</v>
      </c>
      <c r="X239" s="59">
        <f>SUM(X240:X247)</f>
        <v>5318.9</v>
      </c>
      <c r="Y239" s="59">
        <f t="shared" ref="Y239:Z239" si="87">SUM(Y240:Y247)</f>
        <v>0</v>
      </c>
      <c r="Z239" s="59">
        <f t="shared" si="87"/>
        <v>0</v>
      </c>
      <c r="AA239" s="59">
        <f>SUM(T239:Z239)</f>
        <v>20607.5</v>
      </c>
      <c r="AB239" s="58">
        <v>2022</v>
      </c>
      <c r="AC239" s="124"/>
      <c r="AD239" s="101"/>
      <c r="AE239" s="101"/>
    </row>
    <row r="240" spans="1:31" x14ac:dyDescent="0.25">
      <c r="A240" s="54" t="s">
        <v>18</v>
      </c>
      <c r="B240" s="54" t="s">
        <v>18</v>
      </c>
      <c r="C240" s="54" t="s">
        <v>22</v>
      </c>
      <c r="D240" s="54" t="s">
        <v>18</v>
      </c>
      <c r="E240" s="54" t="s">
        <v>18</v>
      </c>
      <c r="F240" s="54" t="s">
        <v>18</v>
      </c>
      <c r="G240" s="54" t="s">
        <v>18</v>
      </c>
      <c r="H240" s="54" t="s">
        <v>19</v>
      </c>
      <c r="I240" s="54" t="s">
        <v>24</v>
      </c>
      <c r="J240" s="54" t="s">
        <v>18</v>
      </c>
      <c r="K240" s="54" t="s">
        <v>18</v>
      </c>
      <c r="L240" s="54" t="s">
        <v>20</v>
      </c>
      <c r="M240" s="54" t="s">
        <v>19</v>
      </c>
      <c r="N240" s="54" t="s">
        <v>18</v>
      </c>
      <c r="O240" s="54" t="s">
        <v>24</v>
      </c>
      <c r="P240" s="54" t="s">
        <v>22</v>
      </c>
      <c r="Q240" s="54" t="s">
        <v>45</v>
      </c>
      <c r="R240" s="160"/>
      <c r="S240" s="163"/>
      <c r="T240" s="1">
        <f>T252+T257+T262+T268+T274+T281</f>
        <v>1229.5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9">
        <f t="shared" ref="AA240:AA246" si="88">SUM(T240:Z240)</f>
        <v>1229.5</v>
      </c>
      <c r="AB240" s="58">
        <v>2018</v>
      </c>
      <c r="AC240" s="124"/>
      <c r="AD240" s="101"/>
      <c r="AE240" s="101"/>
    </row>
    <row r="241" spans="1:31" x14ac:dyDescent="0.25">
      <c r="A241" s="54" t="s">
        <v>18</v>
      </c>
      <c r="B241" s="54" t="s">
        <v>18</v>
      </c>
      <c r="C241" s="54" t="s">
        <v>22</v>
      </c>
      <c r="D241" s="54" t="s">
        <v>18</v>
      </c>
      <c r="E241" s="54" t="s">
        <v>18</v>
      </c>
      <c r="F241" s="54" t="s">
        <v>18</v>
      </c>
      <c r="G241" s="54" t="s">
        <v>18</v>
      </c>
      <c r="H241" s="54" t="s">
        <v>19</v>
      </c>
      <c r="I241" s="54" t="s">
        <v>24</v>
      </c>
      <c r="J241" s="54" t="s">
        <v>18</v>
      </c>
      <c r="K241" s="54" t="s">
        <v>18</v>
      </c>
      <c r="L241" s="54" t="s">
        <v>20</v>
      </c>
      <c r="M241" s="54" t="s">
        <v>37</v>
      </c>
      <c r="N241" s="54" t="s">
        <v>18</v>
      </c>
      <c r="O241" s="54" t="s">
        <v>24</v>
      </c>
      <c r="P241" s="54" t="s">
        <v>22</v>
      </c>
      <c r="Q241" s="54" t="s">
        <v>39</v>
      </c>
      <c r="R241" s="160"/>
      <c r="S241" s="163"/>
      <c r="T241" s="1">
        <v>1046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88"/>
        <v>1046</v>
      </c>
      <c r="AB241" s="58">
        <v>2018</v>
      </c>
      <c r="AC241" s="124"/>
      <c r="AD241" s="101"/>
      <c r="AE241" s="101"/>
    </row>
    <row r="242" spans="1:31" x14ac:dyDescent="0.25">
      <c r="A242" s="54" t="s">
        <v>18</v>
      </c>
      <c r="B242" s="54" t="s">
        <v>18</v>
      </c>
      <c r="C242" s="54" t="s">
        <v>22</v>
      </c>
      <c r="D242" s="54" t="s">
        <v>18</v>
      </c>
      <c r="E242" s="54" t="s">
        <v>18</v>
      </c>
      <c r="F242" s="54" t="s">
        <v>18</v>
      </c>
      <c r="G242" s="54" t="s">
        <v>18</v>
      </c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37</v>
      </c>
      <c r="N242" s="54" t="s">
        <v>18</v>
      </c>
      <c r="O242" s="54" t="s">
        <v>24</v>
      </c>
      <c r="P242" s="54" t="s">
        <v>22</v>
      </c>
      <c r="Q242" s="54" t="s">
        <v>46</v>
      </c>
      <c r="R242" s="160"/>
      <c r="S242" s="163"/>
      <c r="T242" s="1">
        <v>647.1</v>
      </c>
      <c r="U242" s="1">
        <v>1329.9</v>
      </c>
      <c r="V242" s="1">
        <v>949.3</v>
      </c>
      <c r="W242" s="1">
        <v>0</v>
      </c>
      <c r="X242" s="1">
        <v>0</v>
      </c>
      <c r="Y242" s="1">
        <v>0</v>
      </c>
      <c r="Z242" s="1">
        <v>0</v>
      </c>
      <c r="AA242" s="59">
        <f t="shared" si="88"/>
        <v>2926.3</v>
      </c>
      <c r="AB242" s="58">
        <v>2020</v>
      </c>
      <c r="AC242" s="124"/>
      <c r="AD242" s="101"/>
      <c r="AE242" s="101"/>
    </row>
    <row r="243" spans="1:31" x14ac:dyDescent="0.25">
      <c r="A243" s="54" t="s">
        <v>18</v>
      </c>
      <c r="B243" s="54" t="s">
        <v>18</v>
      </c>
      <c r="C243" s="54" t="s">
        <v>22</v>
      </c>
      <c r="D243" s="54" t="s">
        <v>18</v>
      </c>
      <c r="E243" s="54" t="s">
        <v>18</v>
      </c>
      <c r="F243" s="54" t="s">
        <v>18</v>
      </c>
      <c r="G243" s="54" t="s">
        <v>18</v>
      </c>
      <c r="H243" s="54" t="s">
        <v>19</v>
      </c>
      <c r="I243" s="54" t="s">
        <v>24</v>
      </c>
      <c r="J243" s="54" t="s">
        <v>18</v>
      </c>
      <c r="K243" s="54" t="s">
        <v>18</v>
      </c>
      <c r="L243" s="54" t="s">
        <v>20</v>
      </c>
      <c r="M243" s="54" t="s">
        <v>19</v>
      </c>
      <c r="N243" s="54" t="s">
        <v>18</v>
      </c>
      <c r="O243" s="54" t="s">
        <v>24</v>
      </c>
      <c r="P243" s="54" t="s">
        <v>22</v>
      </c>
      <c r="Q243" s="54" t="s">
        <v>18</v>
      </c>
      <c r="R243" s="160"/>
      <c r="S243" s="163"/>
      <c r="T243" s="1">
        <v>0</v>
      </c>
      <c r="U243" s="1">
        <f>2901-2.9</f>
        <v>2898.1</v>
      </c>
      <c r="V243" s="1">
        <f>1721.3-1721.3</f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88"/>
        <v>2898.1</v>
      </c>
      <c r="AB243" s="58">
        <v>2019</v>
      </c>
      <c r="AC243" s="124"/>
      <c r="AD243" s="101"/>
      <c r="AE243" s="101"/>
    </row>
    <row r="244" spans="1:31" x14ac:dyDescent="0.25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18</v>
      </c>
      <c r="F244" s="54" t="s">
        <v>18</v>
      </c>
      <c r="G244" s="54" t="s">
        <v>18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37</v>
      </c>
      <c r="N244" s="54" t="s">
        <v>18</v>
      </c>
      <c r="O244" s="54" t="s">
        <v>24</v>
      </c>
      <c r="P244" s="54" t="s">
        <v>22</v>
      </c>
      <c r="Q244" s="54" t="s">
        <v>18</v>
      </c>
      <c r="R244" s="160"/>
      <c r="S244" s="163"/>
      <c r="T244" s="1">
        <v>0</v>
      </c>
      <c r="U244" s="1">
        <f>2375.1-28.2</f>
        <v>2346.9</v>
      </c>
      <c r="V244" s="1">
        <f>1518.9+1643.8-147.5</f>
        <v>3015.2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88"/>
        <v>5362.1</v>
      </c>
      <c r="AB244" s="58">
        <v>2020</v>
      </c>
      <c r="AC244" s="124"/>
      <c r="AD244" s="101"/>
      <c r="AE244" s="101"/>
    </row>
    <row r="245" spans="1:3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18</v>
      </c>
      <c r="F245" s="54" t="s">
        <v>18</v>
      </c>
      <c r="G245" s="54" t="s">
        <v>18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37</v>
      </c>
      <c r="N245" s="54" t="s">
        <v>43</v>
      </c>
      <c r="O245" s="54" t="s">
        <v>18</v>
      </c>
      <c r="P245" s="54" t="s">
        <v>18</v>
      </c>
      <c r="Q245" s="54" t="s">
        <v>18</v>
      </c>
      <c r="R245" s="160"/>
      <c r="S245" s="163"/>
      <c r="T245" s="1">
        <v>0</v>
      </c>
      <c r="U245" s="1">
        <v>0</v>
      </c>
      <c r="V245" s="1">
        <v>0</v>
      </c>
      <c r="W245" s="1">
        <f>600-33</f>
        <v>567</v>
      </c>
      <c r="X245" s="1">
        <v>1357.3</v>
      </c>
      <c r="Y245" s="1">
        <v>0</v>
      </c>
      <c r="Z245" s="1">
        <v>0</v>
      </c>
      <c r="AA245" s="59">
        <f t="shared" si="88"/>
        <v>1924.3</v>
      </c>
      <c r="AB245" s="58">
        <v>2022</v>
      </c>
      <c r="AC245" s="124"/>
      <c r="AD245" s="101"/>
      <c r="AE245" s="101"/>
    </row>
    <row r="246" spans="1:3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18</v>
      </c>
      <c r="F246" s="54" t="s">
        <v>18</v>
      </c>
      <c r="G246" s="54" t="s">
        <v>18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19</v>
      </c>
      <c r="N246" s="54" t="s">
        <v>43</v>
      </c>
      <c r="O246" s="54" t="s">
        <v>18</v>
      </c>
      <c r="P246" s="54" t="s">
        <v>18</v>
      </c>
      <c r="Q246" s="54" t="s">
        <v>18</v>
      </c>
      <c r="R246" s="160"/>
      <c r="S246" s="163"/>
      <c r="T246" s="1">
        <v>0</v>
      </c>
      <c r="U246" s="1">
        <v>0</v>
      </c>
      <c r="V246" s="1">
        <v>0</v>
      </c>
      <c r="W246" s="1">
        <v>600</v>
      </c>
      <c r="X246" s="1">
        <v>2659.4</v>
      </c>
      <c r="Y246" s="1">
        <v>0</v>
      </c>
      <c r="Z246" s="1">
        <v>0</v>
      </c>
      <c r="AA246" s="59">
        <f t="shared" si="88"/>
        <v>3259.4</v>
      </c>
      <c r="AB246" s="58">
        <v>2022</v>
      </c>
      <c r="AC246" s="124"/>
      <c r="AD246" s="101"/>
      <c r="AE246" s="101"/>
    </row>
    <row r="247" spans="1:31" x14ac:dyDescent="0.25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18</v>
      </c>
      <c r="F247" s="54" t="s">
        <v>18</v>
      </c>
      <c r="G247" s="54" t="s">
        <v>18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37</v>
      </c>
      <c r="N247" s="54" t="s">
        <v>43</v>
      </c>
      <c r="O247" s="54" t="s">
        <v>46</v>
      </c>
      <c r="P247" s="54" t="s">
        <v>18</v>
      </c>
      <c r="Q247" s="54" t="s">
        <v>18</v>
      </c>
      <c r="R247" s="161"/>
      <c r="S247" s="164"/>
      <c r="T247" s="1">
        <v>0</v>
      </c>
      <c r="U247" s="1">
        <v>0</v>
      </c>
      <c r="V247" s="1">
        <v>0</v>
      </c>
      <c r="W247" s="1">
        <v>659.6</v>
      </c>
      <c r="X247" s="1">
        <v>1302.2</v>
      </c>
      <c r="Y247" s="1">
        <v>0</v>
      </c>
      <c r="Z247" s="1">
        <v>0</v>
      </c>
      <c r="AA247" s="59">
        <f>SUM(T247:Z247)</f>
        <v>1961.8000000000002</v>
      </c>
      <c r="AB247" s="58">
        <v>2022</v>
      </c>
      <c r="AC247" s="124"/>
      <c r="AD247" s="101"/>
      <c r="AE247" s="101"/>
    </row>
    <row r="248" spans="1:31" ht="47.25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78" t="s">
        <v>256</v>
      </c>
      <c r="S248" s="62" t="s">
        <v>52</v>
      </c>
      <c r="T248" s="3">
        <v>8.8000000000000007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6">
        <f>SUM(T248:Z248)</f>
        <v>8.8000000000000007</v>
      </c>
      <c r="AB248" s="41">
        <v>2018</v>
      </c>
      <c r="AC248" s="128"/>
      <c r="AD248" s="101"/>
      <c r="AE248" s="101"/>
    </row>
    <row r="249" spans="1:31" ht="47.25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80" t="s">
        <v>299</v>
      </c>
      <c r="S249" s="62" t="s">
        <v>52</v>
      </c>
      <c r="T249" s="3">
        <v>0</v>
      </c>
      <c r="U249" s="3">
        <v>1</v>
      </c>
      <c r="V249" s="3">
        <v>1.1000000000000001</v>
      </c>
      <c r="W249" s="3">
        <v>0.9</v>
      </c>
      <c r="X249" s="3">
        <v>1.1000000000000001</v>
      </c>
      <c r="Y249" s="3">
        <v>0</v>
      </c>
      <c r="Z249" s="3">
        <v>0</v>
      </c>
      <c r="AA249" s="6">
        <f t="shared" ref="AA249" si="89">SUM(T249:Z249)</f>
        <v>4.0999999999999996</v>
      </c>
      <c r="AB249" s="41">
        <v>2022</v>
      </c>
      <c r="AC249" s="128"/>
      <c r="AD249" s="101"/>
      <c r="AE249" s="101"/>
    </row>
    <row r="250" spans="1:31" ht="47.25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78" t="s">
        <v>300</v>
      </c>
      <c r="S250" s="84" t="s">
        <v>50</v>
      </c>
      <c r="T250" s="44">
        <v>3</v>
      </c>
      <c r="U250" s="44">
        <v>6</v>
      </c>
      <c r="V250" s="44">
        <v>4</v>
      </c>
      <c r="W250" s="44">
        <v>1</v>
      </c>
      <c r="X250" s="44">
        <v>2</v>
      </c>
      <c r="Y250" s="44">
        <v>0</v>
      </c>
      <c r="Z250" s="44">
        <v>0</v>
      </c>
      <c r="AA250" s="49">
        <f>SUM(T250:Z250)</f>
        <v>16</v>
      </c>
      <c r="AB250" s="41">
        <v>2022</v>
      </c>
      <c r="AC250" s="128"/>
      <c r="AD250" s="101"/>
      <c r="AE250" s="101"/>
    </row>
    <row r="251" spans="1:31" ht="15.6" hidden="1" customHeight="1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165" t="s">
        <v>180</v>
      </c>
      <c r="S251" s="63" t="s">
        <v>0</v>
      </c>
      <c r="T251" s="1">
        <f>SUM(T252:T254)</f>
        <v>998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59">
        <f t="shared" ref="AA251:AA355" si="90">SUM(T251:Y251)</f>
        <v>998</v>
      </c>
      <c r="AB251" s="58">
        <v>2018</v>
      </c>
      <c r="AC251" s="87"/>
      <c r="AD251" s="101">
        <f>T252+T257+T262+T268+T274+T281+T299+T305+T310+T315+T320+T325+T344+T350+T357+T364+T371+T378+T385+T392+T399+T406+T412+T418+T437+T443+T449+T455+T461+T467+T472+T478+T484+T490+T496</f>
        <v>9265.1149999999998</v>
      </c>
      <c r="AE251" s="101"/>
    </row>
    <row r="252" spans="1:31" ht="15.6" hidden="1" customHeight="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21</v>
      </c>
      <c r="F252" s="54" t="s">
        <v>18</v>
      </c>
      <c r="G252" s="54" t="s">
        <v>22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19</v>
      </c>
      <c r="N252" s="54" t="s">
        <v>18</v>
      </c>
      <c r="O252" s="54" t="s">
        <v>24</v>
      </c>
      <c r="P252" s="54" t="s">
        <v>22</v>
      </c>
      <c r="Q252" s="54" t="s">
        <v>45</v>
      </c>
      <c r="R252" s="165"/>
      <c r="S252" s="63" t="s">
        <v>0</v>
      </c>
      <c r="T252" s="1">
        <v>399.2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59">
        <f t="shared" si="90"/>
        <v>399.2</v>
      </c>
      <c r="AB252" s="58">
        <v>2018</v>
      </c>
      <c r="AC252" s="9"/>
      <c r="AD252" s="101">
        <f>T253+T258+T263+T264+T269+T270+T275+T276+T282+T283+T301+T306+T311+T316+T321+T326+T346+T345+T353+T352+T360+T359+T367+T366+T374+T373+T381+T380+T388+T387+T394+T395+T401+T408+T414+T420+T421+T438+T439+T444+T445+T450+T451+T456+T457+T462+T463+T468+T473+T474+T479+T480+T485+T486+T491+T492+T497+T498+T402</f>
        <v>4643.8</v>
      </c>
      <c r="AE252" s="101"/>
    </row>
    <row r="253" spans="1:31" ht="15.6" hidden="1" customHeight="1" x14ac:dyDescent="0.25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21</v>
      </c>
      <c r="F253" s="54" t="s">
        <v>18</v>
      </c>
      <c r="G253" s="54" t="s">
        <v>22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37</v>
      </c>
      <c r="N253" s="54" t="s">
        <v>18</v>
      </c>
      <c r="O253" s="54" t="s">
        <v>24</v>
      </c>
      <c r="P253" s="54" t="s">
        <v>22</v>
      </c>
      <c r="Q253" s="54" t="s">
        <v>46</v>
      </c>
      <c r="R253" s="165"/>
      <c r="S253" s="63" t="s">
        <v>0</v>
      </c>
      <c r="T253" s="1">
        <v>199.6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59">
        <f t="shared" si="90"/>
        <v>199.6</v>
      </c>
      <c r="AB253" s="58">
        <v>2018</v>
      </c>
      <c r="AC253" s="9"/>
      <c r="AD253" s="101">
        <f>T254+T259+T265+T271+T277+T284+T302+T307+T312+T317+T322+T327+T347+T354+T361+T368+T375+T382+T389+T396+T403+T409+T415+T422+T440+T446+T452+T458+T464+T469+T475+T481+T487+T493+T499</f>
        <v>9745.0000000000018</v>
      </c>
      <c r="AE253" s="101"/>
    </row>
    <row r="254" spans="1:31" ht="15.6" hidden="1" customHeight="1" x14ac:dyDescent="0.25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21</v>
      </c>
      <c r="F254" s="54" t="s">
        <v>18</v>
      </c>
      <c r="G254" s="54" t="s">
        <v>22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37</v>
      </c>
      <c r="N254" s="54" t="s">
        <v>18</v>
      </c>
      <c r="O254" s="54" t="s">
        <v>24</v>
      </c>
      <c r="P254" s="54" t="s">
        <v>22</v>
      </c>
      <c r="Q254" s="54" t="s">
        <v>39</v>
      </c>
      <c r="R254" s="165"/>
      <c r="S254" s="63" t="s">
        <v>0</v>
      </c>
      <c r="T254" s="1">
        <v>399.2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0"/>
        <v>399.2</v>
      </c>
      <c r="AB254" s="58">
        <v>2018</v>
      </c>
      <c r="AC254" s="9"/>
      <c r="AD254" s="101">
        <f>T300+T351+T358+T365+T372+T379+T386+T393+T400+T407+T413+T419</f>
        <v>380</v>
      </c>
      <c r="AE254" s="101"/>
    </row>
    <row r="255" spans="1:31" ht="31.15" hidden="1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80" t="s">
        <v>181</v>
      </c>
      <c r="S255" s="84" t="s">
        <v>167</v>
      </c>
      <c r="T255" s="3">
        <v>8750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6">
        <f t="shared" si="90"/>
        <v>8750</v>
      </c>
      <c r="AB255" s="41">
        <v>2018</v>
      </c>
      <c r="AC255" s="9"/>
      <c r="AD255" s="101">
        <f>SUM(AD251:AD254)</f>
        <v>24033.915000000001</v>
      </c>
      <c r="AE255" s="101"/>
    </row>
    <row r="256" spans="1:31" ht="15.6" hidden="1" customHeight="1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165" t="s">
        <v>182</v>
      </c>
      <c r="S256" s="63" t="s">
        <v>0</v>
      </c>
      <c r="T256" s="1">
        <f>SUM(T257:T259)</f>
        <v>150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0"/>
        <v>150</v>
      </c>
      <c r="AB256" s="58">
        <v>2018</v>
      </c>
      <c r="AC256" s="9"/>
      <c r="AD256" s="101"/>
      <c r="AE256" s="101"/>
    </row>
    <row r="257" spans="1:31" ht="15.6" hidden="1" customHeight="1" x14ac:dyDescent="0.25">
      <c r="A257" s="54" t="s">
        <v>18</v>
      </c>
      <c r="B257" s="54" t="s">
        <v>18</v>
      </c>
      <c r="C257" s="54" t="s">
        <v>22</v>
      </c>
      <c r="D257" s="54" t="s">
        <v>18</v>
      </c>
      <c r="E257" s="54" t="s">
        <v>21</v>
      </c>
      <c r="F257" s="54" t="s">
        <v>18</v>
      </c>
      <c r="G257" s="54" t="s">
        <v>22</v>
      </c>
      <c r="H257" s="54" t="s">
        <v>19</v>
      </c>
      <c r="I257" s="54" t="s">
        <v>24</v>
      </c>
      <c r="J257" s="54" t="s">
        <v>18</v>
      </c>
      <c r="K257" s="54" t="s">
        <v>18</v>
      </c>
      <c r="L257" s="54" t="s">
        <v>20</v>
      </c>
      <c r="M257" s="54" t="s">
        <v>19</v>
      </c>
      <c r="N257" s="54" t="s">
        <v>18</v>
      </c>
      <c r="O257" s="54" t="s">
        <v>24</v>
      </c>
      <c r="P257" s="54" t="s">
        <v>22</v>
      </c>
      <c r="Q257" s="54" t="s">
        <v>45</v>
      </c>
      <c r="R257" s="165"/>
      <c r="S257" s="63" t="s">
        <v>0</v>
      </c>
      <c r="T257" s="1">
        <v>60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si="90"/>
        <v>60</v>
      </c>
      <c r="AB257" s="58">
        <v>2018</v>
      </c>
      <c r="AC257" s="9"/>
      <c r="AD257" s="101"/>
      <c r="AE257" s="101"/>
    </row>
    <row r="258" spans="1:31" ht="15.6" hidden="1" customHeight="1" x14ac:dyDescent="0.25">
      <c r="A258" s="54" t="s">
        <v>18</v>
      </c>
      <c r="B258" s="54" t="s">
        <v>18</v>
      </c>
      <c r="C258" s="54" t="s">
        <v>22</v>
      </c>
      <c r="D258" s="54" t="s">
        <v>18</v>
      </c>
      <c r="E258" s="54" t="s">
        <v>21</v>
      </c>
      <c r="F258" s="54" t="s">
        <v>18</v>
      </c>
      <c r="G258" s="54" t="s">
        <v>22</v>
      </c>
      <c r="H258" s="54" t="s">
        <v>19</v>
      </c>
      <c r="I258" s="54" t="s">
        <v>24</v>
      </c>
      <c r="J258" s="54" t="s">
        <v>18</v>
      </c>
      <c r="K258" s="54" t="s">
        <v>18</v>
      </c>
      <c r="L258" s="54" t="s">
        <v>20</v>
      </c>
      <c r="M258" s="54" t="s">
        <v>37</v>
      </c>
      <c r="N258" s="54" t="s">
        <v>18</v>
      </c>
      <c r="O258" s="54" t="s">
        <v>24</v>
      </c>
      <c r="P258" s="54" t="s">
        <v>22</v>
      </c>
      <c r="Q258" s="54" t="s">
        <v>46</v>
      </c>
      <c r="R258" s="165"/>
      <c r="S258" s="63" t="s">
        <v>0</v>
      </c>
      <c r="T258" s="1">
        <v>30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si="90"/>
        <v>30</v>
      </c>
      <c r="AB258" s="58">
        <v>2018</v>
      </c>
      <c r="AC258" s="9"/>
      <c r="AD258" s="101"/>
      <c r="AE258" s="101"/>
    </row>
    <row r="259" spans="1:31" ht="15.6" hidden="1" customHeight="1" x14ac:dyDescent="0.25">
      <c r="A259" s="54" t="s">
        <v>18</v>
      </c>
      <c r="B259" s="54" t="s">
        <v>18</v>
      </c>
      <c r="C259" s="54" t="s">
        <v>22</v>
      </c>
      <c r="D259" s="54" t="s">
        <v>18</v>
      </c>
      <c r="E259" s="54" t="s">
        <v>21</v>
      </c>
      <c r="F259" s="54" t="s">
        <v>18</v>
      </c>
      <c r="G259" s="54" t="s">
        <v>22</v>
      </c>
      <c r="H259" s="54" t="s">
        <v>19</v>
      </c>
      <c r="I259" s="54" t="s">
        <v>24</v>
      </c>
      <c r="J259" s="54" t="s">
        <v>18</v>
      </c>
      <c r="K259" s="54" t="s">
        <v>18</v>
      </c>
      <c r="L259" s="54" t="s">
        <v>20</v>
      </c>
      <c r="M259" s="54" t="s">
        <v>37</v>
      </c>
      <c r="N259" s="54" t="s">
        <v>18</v>
      </c>
      <c r="O259" s="54" t="s">
        <v>24</v>
      </c>
      <c r="P259" s="54" t="s">
        <v>22</v>
      </c>
      <c r="Q259" s="54" t="s">
        <v>39</v>
      </c>
      <c r="R259" s="165"/>
      <c r="S259" s="63" t="s">
        <v>0</v>
      </c>
      <c r="T259" s="1">
        <v>60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0"/>
        <v>60</v>
      </c>
      <c r="AB259" s="58">
        <v>2018</v>
      </c>
      <c r="AC259" s="9"/>
      <c r="AD259" s="101"/>
      <c r="AE259" s="101"/>
    </row>
    <row r="260" spans="1:31" ht="46.9" hidden="1" customHeight="1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80" t="s">
        <v>183</v>
      </c>
      <c r="S260" s="84" t="s">
        <v>50</v>
      </c>
      <c r="T260" s="44">
        <v>7</v>
      </c>
      <c r="U260" s="44">
        <v>0</v>
      </c>
      <c r="V260" s="44">
        <v>0</v>
      </c>
      <c r="W260" s="44">
        <v>0</v>
      </c>
      <c r="X260" s="44">
        <v>0</v>
      </c>
      <c r="Y260" s="44">
        <v>0</v>
      </c>
      <c r="Z260" s="44">
        <v>0</v>
      </c>
      <c r="AA260" s="49">
        <f t="shared" si="90"/>
        <v>7</v>
      </c>
      <c r="AB260" s="41">
        <v>2018</v>
      </c>
      <c r="AC260" s="9"/>
      <c r="AD260" s="101"/>
      <c r="AE260" s="101"/>
    </row>
    <row r="261" spans="1:31" ht="15.6" hidden="1" customHeight="1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165" t="s">
        <v>184</v>
      </c>
      <c r="S261" s="63" t="s">
        <v>0</v>
      </c>
      <c r="T261" s="1">
        <f>SUM(T262:T265)</f>
        <v>1031.5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0"/>
        <v>1031.5</v>
      </c>
      <c r="AB261" s="58">
        <v>2018</v>
      </c>
      <c r="AC261" s="9"/>
      <c r="AD261" s="101"/>
      <c r="AE261" s="101"/>
    </row>
    <row r="262" spans="1:31" ht="15.6" hidden="1" customHeight="1" x14ac:dyDescent="0.25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21</v>
      </c>
      <c r="F262" s="54" t="s">
        <v>18</v>
      </c>
      <c r="G262" s="54" t="s">
        <v>22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19</v>
      </c>
      <c r="N262" s="54" t="s">
        <v>18</v>
      </c>
      <c r="O262" s="54" t="s">
        <v>24</v>
      </c>
      <c r="P262" s="54" t="s">
        <v>22</v>
      </c>
      <c r="Q262" s="54" t="s">
        <v>45</v>
      </c>
      <c r="R262" s="165"/>
      <c r="S262" s="63" t="s">
        <v>0</v>
      </c>
      <c r="T262" s="1">
        <v>400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0"/>
        <v>400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21</v>
      </c>
      <c r="F263" s="54" t="s">
        <v>18</v>
      </c>
      <c r="G263" s="54" t="s">
        <v>22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46</v>
      </c>
      <c r="R263" s="165"/>
      <c r="S263" s="63" t="s">
        <v>0</v>
      </c>
      <c r="T263" s="1">
        <v>2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0"/>
        <v>2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46</v>
      </c>
      <c r="R264" s="165"/>
      <c r="S264" s="63" t="s">
        <v>0</v>
      </c>
      <c r="T264" s="1">
        <v>229.5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0"/>
        <v>229.5</v>
      </c>
      <c r="AB264" s="58">
        <v>2018</v>
      </c>
      <c r="AC264" s="9"/>
      <c r="AD264" s="101"/>
      <c r="AE264" s="101"/>
    </row>
    <row r="265" spans="1:31" ht="15.6" hidden="1" customHeight="1" x14ac:dyDescent="0.25">
      <c r="A265" s="54" t="s">
        <v>18</v>
      </c>
      <c r="B265" s="54" t="s">
        <v>18</v>
      </c>
      <c r="C265" s="54" t="s">
        <v>22</v>
      </c>
      <c r="D265" s="54" t="s">
        <v>18</v>
      </c>
      <c r="E265" s="54" t="s">
        <v>21</v>
      </c>
      <c r="F265" s="54" t="s">
        <v>18</v>
      </c>
      <c r="G265" s="54" t="s">
        <v>22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37</v>
      </c>
      <c r="N265" s="54" t="s">
        <v>18</v>
      </c>
      <c r="O265" s="54" t="s">
        <v>24</v>
      </c>
      <c r="P265" s="54" t="s">
        <v>22</v>
      </c>
      <c r="Q265" s="54" t="s">
        <v>39</v>
      </c>
      <c r="R265" s="165"/>
      <c r="S265" s="63" t="s">
        <v>0</v>
      </c>
      <c r="T265" s="1">
        <v>400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59">
        <f t="shared" si="90"/>
        <v>400</v>
      </c>
      <c r="AB265" s="58">
        <v>2018</v>
      </c>
      <c r="AC265" s="9"/>
      <c r="AD265" s="101"/>
      <c r="AE265" s="101"/>
    </row>
    <row r="266" spans="1:31" ht="45.6" hidden="1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80" t="s">
        <v>185</v>
      </c>
      <c r="S266" s="84" t="s">
        <v>50</v>
      </c>
      <c r="T266" s="44">
        <v>44</v>
      </c>
      <c r="U266" s="44">
        <v>0</v>
      </c>
      <c r="V266" s="44">
        <v>0</v>
      </c>
      <c r="W266" s="44">
        <v>0</v>
      </c>
      <c r="X266" s="44">
        <v>0</v>
      </c>
      <c r="Y266" s="44">
        <v>0</v>
      </c>
      <c r="Z266" s="44">
        <v>0</v>
      </c>
      <c r="AA266" s="49">
        <f t="shared" si="90"/>
        <v>44</v>
      </c>
      <c r="AB266" s="41">
        <v>2018</v>
      </c>
      <c r="AC266" s="9"/>
      <c r="AD266" s="101"/>
      <c r="AE266" s="101"/>
    </row>
    <row r="267" spans="1:31" ht="15.6" hidden="1" customHeigh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165" t="s">
        <v>186</v>
      </c>
      <c r="S267" s="63" t="s">
        <v>0</v>
      </c>
      <c r="T267" s="1">
        <f>SUM(T268:T271)</f>
        <v>613.5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0"/>
        <v>613.5</v>
      </c>
      <c r="AB267" s="58">
        <v>2018</v>
      </c>
      <c r="AC267" s="9"/>
      <c r="AD267" s="101"/>
      <c r="AE267" s="101"/>
    </row>
    <row r="268" spans="1:31" ht="15.6" hidden="1" customHeight="1" x14ac:dyDescent="0.25">
      <c r="A268" s="54" t="s">
        <v>18</v>
      </c>
      <c r="B268" s="54" t="s">
        <v>18</v>
      </c>
      <c r="C268" s="54" t="s">
        <v>22</v>
      </c>
      <c r="D268" s="54" t="s">
        <v>18</v>
      </c>
      <c r="E268" s="54" t="s">
        <v>21</v>
      </c>
      <c r="F268" s="54" t="s">
        <v>18</v>
      </c>
      <c r="G268" s="54" t="s">
        <v>22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19</v>
      </c>
      <c r="N268" s="54" t="s">
        <v>18</v>
      </c>
      <c r="O268" s="54" t="s">
        <v>24</v>
      </c>
      <c r="P268" s="54" t="s">
        <v>22</v>
      </c>
      <c r="Q268" s="54" t="s">
        <v>45</v>
      </c>
      <c r="R268" s="165"/>
      <c r="S268" s="63" t="s">
        <v>0</v>
      </c>
      <c r="T268" s="1">
        <v>245.4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0"/>
        <v>245.4</v>
      </c>
      <c r="AB268" s="58">
        <v>2018</v>
      </c>
      <c r="AC268" s="9"/>
      <c r="AD268" s="101"/>
      <c r="AE268" s="101"/>
    </row>
    <row r="269" spans="1:31" ht="15.6" hidden="1" customHeight="1" x14ac:dyDescent="0.25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21</v>
      </c>
      <c r="F269" s="54" t="s">
        <v>18</v>
      </c>
      <c r="G269" s="54" t="s">
        <v>22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65"/>
      <c r="S269" s="63" t="s">
        <v>0</v>
      </c>
      <c r="T269" s="1">
        <v>60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0"/>
        <v>60</v>
      </c>
      <c r="AB269" s="58">
        <v>2018</v>
      </c>
      <c r="AC269" s="9"/>
      <c r="AD269" s="101"/>
      <c r="AE269" s="101"/>
    </row>
    <row r="270" spans="1:31" ht="15.6" hidden="1" customHeight="1" x14ac:dyDescent="0.25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21</v>
      </c>
      <c r="F270" s="54" t="s">
        <v>18</v>
      </c>
      <c r="G270" s="54" t="s">
        <v>22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65"/>
      <c r="S270" s="63" t="s">
        <v>0</v>
      </c>
      <c r="T270" s="1">
        <v>62.7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0"/>
        <v>62.7</v>
      </c>
      <c r="AB270" s="58">
        <v>2018</v>
      </c>
      <c r="AC270" s="9"/>
      <c r="AD270" s="101"/>
      <c r="AE270" s="101"/>
    </row>
    <row r="271" spans="1:31" ht="15.6" hidden="1" customHeight="1" x14ac:dyDescent="0.25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21</v>
      </c>
      <c r="F271" s="54" t="s">
        <v>18</v>
      </c>
      <c r="G271" s="54" t="s">
        <v>22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39</v>
      </c>
      <c r="R271" s="165"/>
      <c r="S271" s="63" t="s">
        <v>0</v>
      </c>
      <c r="T271" s="1">
        <v>245.4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0"/>
        <v>245.4</v>
      </c>
      <c r="AB271" s="58">
        <v>2018</v>
      </c>
      <c r="AC271" s="9"/>
      <c r="AD271" s="101"/>
      <c r="AE271" s="101"/>
    </row>
    <row r="272" spans="1:31" ht="46.9" hidden="1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80" t="s">
        <v>187</v>
      </c>
      <c r="S272" s="84" t="s">
        <v>50</v>
      </c>
      <c r="T272" s="44">
        <v>26</v>
      </c>
      <c r="U272" s="44">
        <v>0</v>
      </c>
      <c r="V272" s="44">
        <v>0</v>
      </c>
      <c r="W272" s="44">
        <v>0</v>
      </c>
      <c r="X272" s="44">
        <v>0</v>
      </c>
      <c r="Y272" s="44">
        <v>0</v>
      </c>
      <c r="Z272" s="44">
        <v>0</v>
      </c>
      <c r="AA272" s="49">
        <f t="shared" si="90"/>
        <v>26</v>
      </c>
      <c r="AB272" s="41">
        <v>2018</v>
      </c>
      <c r="AC272" s="9"/>
      <c r="AD272" s="101"/>
      <c r="AE272" s="101"/>
    </row>
    <row r="273" spans="1:31" ht="15.6" hidden="1" customHeight="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165" t="s">
        <v>188</v>
      </c>
      <c r="S273" s="63" t="s">
        <v>0</v>
      </c>
      <c r="T273" s="1">
        <f>SUM(T274:T277)</f>
        <v>194.7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59">
        <f t="shared" si="90"/>
        <v>194.7</v>
      </c>
      <c r="AB273" s="58">
        <v>2018</v>
      </c>
      <c r="AC273" s="9"/>
      <c r="AD273" s="101"/>
      <c r="AE273" s="101"/>
    </row>
    <row r="274" spans="1:31" ht="15.6" hidden="1" customHeight="1" x14ac:dyDescent="0.25">
      <c r="A274" s="54" t="s">
        <v>18</v>
      </c>
      <c r="B274" s="54" t="s">
        <v>18</v>
      </c>
      <c r="C274" s="54" t="s">
        <v>22</v>
      </c>
      <c r="D274" s="54" t="s">
        <v>18</v>
      </c>
      <c r="E274" s="54" t="s">
        <v>21</v>
      </c>
      <c r="F274" s="54" t="s">
        <v>18</v>
      </c>
      <c r="G274" s="54" t="s">
        <v>22</v>
      </c>
      <c r="H274" s="54" t="s">
        <v>19</v>
      </c>
      <c r="I274" s="54" t="s">
        <v>24</v>
      </c>
      <c r="J274" s="54" t="s">
        <v>18</v>
      </c>
      <c r="K274" s="54" t="s">
        <v>18</v>
      </c>
      <c r="L274" s="54" t="s">
        <v>20</v>
      </c>
      <c r="M274" s="54" t="s">
        <v>19</v>
      </c>
      <c r="N274" s="54" t="s">
        <v>18</v>
      </c>
      <c r="O274" s="54" t="s">
        <v>24</v>
      </c>
      <c r="P274" s="54" t="s">
        <v>22</v>
      </c>
      <c r="Q274" s="54" t="s">
        <v>45</v>
      </c>
      <c r="R274" s="165"/>
      <c r="S274" s="63" t="s">
        <v>0</v>
      </c>
      <c r="T274" s="1">
        <v>77.3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0"/>
        <v>77.3</v>
      </c>
      <c r="AB274" s="58">
        <v>2018</v>
      </c>
      <c r="AC274" s="9"/>
      <c r="AD274" s="101"/>
      <c r="AE274" s="101"/>
    </row>
    <row r="275" spans="1:31" ht="15.6" hidden="1" customHeight="1" x14ac:dyDescent="0.25">
      <c r="A275" s="54" t="s">
        <v>18</v>
      </c>
      <c r="B275" s="54" t="s">
        <v>18</v>
      </c>
      <c r="C275" s="54" t="s">
        <v>22</v>
      </c>
      <c r="D275" s="54" t="s">
        <v>18</v>
      </c>
      <c r="E275" s="54" t="s">
        <v>21</v>
      </c>
      <c r="F275" s="54" t="s">
        <v>18</v>
      </c>
      <c r="G275" s="54" t="s">
        <v>22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37</v>
      </c>
      <c r="N275" s="54" t="s">
        <v>18</v>
      </c>
      <c r="O275" s="54" t="s">
        <v>24</v>
      </c>
      <c r="P275" s="54" t="s">
        <v>22</v>
      </c>
      <c r="Q275" s="54" t="s">
        <v>46</v>
      </c>
      <c r="R275" s="165"/>
      <c r="S275" s="63" t="s">
        <v>0</v>
      </c>
      <c r="T275" s="1">
        <v>20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0"/>
        <v>20</v>
      </c>
      <c r="AB275" s="58">
        <v>2018</v>
      </c>
      <c r="AC275" s="9"/>
      <c r="AD275" s="101"/>
      <c r="AE275" s="101"/>
    </row>
    <row r="276" spans="1:31" ht="15.6" hidden="1" customHeight="1" x14ac:dyDescent="0.25">
      <c r="A276" s="54" t="s">
        <v>18</v>
      </c>
      <c r="B276" s="54" t="s">
        <v>18</v>
      </c>
      <c r="C276" s="54" t="s">
        <v>22</v>
      </c>
      <c r="D276" s="54" t="s">
        <v>18</v>
      </c>
      <c r="E276" s="54" t="s">
        <v>21</v>
      </c>
      <c r="F276" s="54" t="s">
        <v>18</v>
      </c>
      <c r="G276" s="54" t="s">
        <v>22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65"/>
      <c r="S276" s="63" t="s">
        <v>0</v>
      </c>
      <c r="T276" s="1">
        <v>19.5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0"/>
        <v>19.5</v>
      </c>
      <c r="AB276" s="58">
        <v>2018</v>
      </c>
      <c r="AC276" s="9"/>
      <c r="AD276" s="101"/>
      <c r="AE276" s="101"/>
    </row>
    <row r="277" spans="1:31" ht="15.6" hidden="1" customHeight="1" x14ac:dyDescent="0.25">
      <c r="A277" s="54" t="s">
        <v>18</v>
      </c>
      <c r="B277" s="54" t="s">
        <v>18</v>
      </c>
      <c r="C277" s="54" t="s">
        <v>22</v>
      </c>
      <c r="D277" s="54" t="s">
        <v>18</v>
      </c>
      <c r="E277" s="54" t="s">
        <v>21</v>
      </c>
      <c r="F277" s="54" t="s">
        <v>18</v>
      </c>
      <c r="G277" s="54" t="s">
        <v>22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39</v>
      </c>
      <c r="R277" s="165"/>
      <c r="S277" s="63" t="s">
        <v>0</v>
      </c>
      <c r="T277" s="1">
        <v>77.900000000000006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0"/>
        <v>77.900000000000006</v>
      </c>
      <c r="AB277" s="58">
        <v>2018</v>
      </c>
      <c r="AC277" s="9"/>
      <c r="AD277" s="101"/>
      <c r="AE277" s="101"/>
    </row>
    <row r="278" spans="1:31" s="72" customFormat="1" ht="31.15" hidden="1" customHeight="1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80" t="s">
        <v>189</v>
      </c>
      <c r="S278" s="52" t="s">
        <v>50</v>
      </c>
      <c r="T278" s="44">
        <v>1</v>
      </c>
      <c r="U278" s="44">
        <v>0</v>
      </c>
      <c r="V278" s="44">
        <v>0</v>
      </c>
      <c r="W278" s="44">
        <v>0</v>
      </c>
      <c r="X278" s="44">
        <v>0</v>
      </c>
      <c r="Y278" s="44">
        <v>0</v>
      </c>
      <c r="Z278" s="44">
        <v>0</v>
      </c>
      <c r="AA278" s="49">
        <f t="shared" si="90"/>
        <v>1</v>
      </c>
      <c r="AB278" s="41">
        <v>2018</v>
      </c>
      <c r="AC278" s="70"/>
      <c r="AD278" s="85"/>
      <c r="AE278" s="85"/>
    </row>
    <row r="279" spans="1:31" ht="31.15" hidden="1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80" t="s">
        <v>190</v>
      </c>
      <c r="S279" s="84" t="s">
        <v>168</v>
      </c>
      <c r="T279" s="3">
        <v>15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6">
        <f t="shared" si="90"/>
        <v>15</v>
      </c>
      <c r="AB279" s="41">
        <v>2018</v>
      </c>
      <c r="AC279" s="9"/>
      <c r="AD279" s="101"/>
      <c r="AE279" s="101"/>
    </row>
    <row r="280" spans="1:31" ht="15.6" hidden="1" customHeight="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165" t="s">
        <v>191</v>
      </c>
      <c r="S280" s="63" t="s">
        <v>0</v>
      </c>
      <c r="T280" s="1">
        <f>SUM(T281:T284)</f>
        <v>119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9">
        <f t="shared" si="90"/>
        <v>119</v>
      </c>
      <c r="AB280" s="58">
        <v>2018</v>
      </c>
      <c r="AC280" s="9"/>
      <c r="AD280" s="101"/>
      <c r="AE280" s="101"/>
    </row>
    <row r="281" spans="1:31" ht="15.6" hidden="1" customHeight="1" x14ac:dyDescent="0.25">
      <c r="A281" s="54" t="s">
        <v>18</v>
      </c>
      <c r="B281" s="54" t="s">
        <v>18</v>
      </c>
      <c r="C281" s="54" t="s">
        <v>22</v>
      </c>
      <c r="D281" s="54" t="s">
        <v>18</v>
      </c>
      <c r="E281" s="54" t="s">
        <v>24</v>
      </c>
      <c r="F281" s="54" t="s">
        <v>18</v>
      </c>
      <c r="G281" s="54" t="s">
        <v>43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18</v>
      </c>
      <c r="O281" s="54" t="s">
        <v>24</v>
      </c>
      <c r="P281" s="54" t="s">
        <v>22</v>
      </c>
      <c r="Q281" s="54" t="s">
        <v>45</v>
      </c>
      <c r="R281" s="165"/>
      <c r="S281" s="63" t="s">
        <v>0</v>
      </c>
      <c r="T281" s="1">
        <v>47.6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 t="shared" si="90"/>
        <v>47.6</v>
      </c>
      <c r="AB281" s="58">
        <v>2018</v>
      </c>
      <c r="AC281" s="9"/>
      <c r="AD281" s="101"/>
      <c r="AE281" s="101"/>
    </row>
    <row r="282" spans="1:31" ht="15.6" hidden="1" customHeight="1" x14ac:dyDescent="0.25">
      <c r="A282" s="54" t="s">
        <v>18</v>
      </c>
      <c r="B282" s="54" t="s">
        <v>18</v>
      </c>
      <c r="C282" s="54" t="s">
        <v>22</v>
      </c>
      <c r="D282" s="54" t="s">
        <v>18</v>
      </c>
      <c r="E282" s="54" t="s">
        <v>24</v>
      </c>
      <c r="F282" s="54" t="s">
        <v>18</v>
      </c>
      <c r="G282" s="54" t="s">
        <v>43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18</v>
      </c>
      <c r="O282" s="54" t="s">
        <v>24</v>
      </c>
      <c r="P282" s="54" t="s">
        <v>22</v>
      </c>
      <c r="Q282" s="54" t="s">
        <v>46</v>
      </c>
      <c r="R282" s="165"/>
      <c r="S282" s="63" t="s">
        <v>0</v>
      </c>
      <c r="T282" s="1">
        <v>11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 t="shared" si="90"/>
        <v>11</v>
      </c>
      <c r="AB282" s="58">
        <v>2018</v>
      </c>
      <c r="AC282" s="9"/>
      <c r="AD282" s="101"/>
      <c r="AE282" s="101"/>
    </row>
    <row r="283" spans="1:31" ht="15.6" hidden="1" customHeight="1" x14ac:dyDescent="0.25">
      <c r="A283" s="54" t="s">
        <v>18</v>
      </c>
      <c r="B283" s="54" t="s">
        <v>18</v>
      </c>
      <c r="C283" s="54" t="s">
        <v>22</v>
      </c>
      <c r="D283" s="54" t="s">
        <v>18</v>
      </c>
      <c r="E283" s="54" t="s">
        <v>24</v>
      </c>
      <c r="F283" s="54" t="s">
        <v>18</v>
      </c>
      <c r="G283" s="54" t="s">
        <v>43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46</v>
      </c>
      <c r="R283" s="165"/>
      <c r="S283" s="63" t="s">
        <v>0</v>
      </c>
      <c r="T283" s="1">
        <v>12.8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 t="shared" si="90"/>
        <v>12.8</v>
      </c>
      <c r="AB283" s="58">
        <v>2018</v>
      </c>
      <c r="AC283" s="9"/>
      <c r="AD283" s="101"/>
      <c r="AE283" s="101"/>
    </row>
    <row r="284" spans="1:31" ht="15.6" hidden="1" customHeight="1" x14ac:dyDescent="0.25">
      <c r="A284" s="54" t="s">
        <v>18</v>
      </c>
      <c r="B284" s="54" t="s">
        <v>18</v>
      </c>
      <c r="C284" s="54" t="s">
        <v>22</v>
      </c>
      <c r="D284" s="54" t="s">
        <v>18</v>
      </c>
      <c r="E284" s="54" t="s">
        <v>24</v>
      </c>
      <c r="F284" s="54" t="s">
        <v>18</v>
      </c>
      <c r="G284" s="54" t="s">
        <v>43</v>
      </c>
      <c r="H284" s="54" t="s">
        <v>19</v>
      </c>
      <c r="I284" s="54" t="s">
        <v>24</v>
      </c>
      <c r="J284" s="54" t="s">
        <v>18</v>
      </c>
      <c r="K284" s="54" t="s">
        <v>18</v>
      </c>
      <c r="L284" s="54" t="s">
        <v>20</v>
      </c>
      <c r="M284" s="54" t="s">
        <v>37</v>
      </c>
      <c r="N284" s="54" t="s">
        <v>18</v>
      </c>
      <c r="O284" s="54" t="s">
        <v>24</v>
      </c>
      <c r="P284" s="54" t="s">
        <v>22</v>
      </c>
      <c r="Q284" s="54" t="s">
        <v>39</v>
      </c>
      <c r="R284" s="165"/>
      <c r="S284" s="63" t="s">
        <v>0</v>
      </c>
      <c r="T284" s="1">
        <v>47.6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59">
        <f t="shared" si="90"/>
        <v>47.6</v>
      </c>
      <c r="AB284" s="58">
        <v>2018</v>
      </c>
      <c r="AC284" s="9"/>
      <c r="AD284" s="101"/>
      <c r="AE284" s="101"/>
    </row>
    <row r="285" spans="1:31" s="72" customFormat="1" ht="46.9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78" t="s">
        <v>192</v>
      </c>
      <c r="S285" s="89" t="s">
        <v>167</v>
      </c>
      <c r="T285" s="3">
        <v>65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49">
        <f t="shared" si="90"/>
        <v>65</v>
      </c>
      <c r="AB285" s="41">
        <v>2018</v>
      </c>
      <c r="AC285" s="70"/>
      <c r="AD285" s="85"/>
      <c r="AE285" s="85"/>
    </row>
    <row r="286" spans="1:31" ht="15.6" customHeight="1" x14ac:dyDescent="0.25">
      <c r="A286" s="54" t="s">
        <v>18</v>
      </c>
      <c r="B286" s="54" t="s">
        <v>18</v>
      </c>
      <c r="C286" s="54" t="s">
        <v>24</v>
      </c>
      <c r="D286" s="54" t="s">
        <v>18</v>
      </c>
      <c r="E286" s="54" t="s">
        <v>18</v>
      </c>
      <c r="F286" s="54" t="s">
        <v>18</v>
      </c>
      <c r="G286" s="54" t="s">
        <v>18</v>
      </c>
      <c r="H286" s="54" t="s">
        <v>19</v>
      </c>
      <c r="I286" s="54" t="s">
        <v>24</v>
      </c>
      <c r="J286" s="54" t="s">
        <v>18</v>
      </c>
      <c r="K286" s="54" t="s">
        <v>18</v>
      </c>
      <c r="L286" s="54" t="s">
        <v>20</v>
      </c>
      <c r="M286" s="54" t="s">
        <v>18</v>
      </c>
      <c r="N286" s="54" t="s">
        <v>18</v>
      </c>
      <c r="O286" s="54" t="s">
        <v>18</v>
      </c>
      <c r="P286" s="54" t="s">
        <v>18</v>
      </c>
      <c r="Q286" s="54" t="s">
        <v>18</v>
      </c>
      <c r="R286" s="159" t="s">
        <v>133</v>
      </c>
      <c r="S286" s="162" t="s">
        <v>0</v>
      </c>
      <c r="T286" s="59">
        <f>SUM(T287:T290)</f>
        <v>3440.1</v>
      </c>
      <c r="U286" s="59">
        <f>SUM(U289:U292)</f>
        <v>3636.2999999999997</v>
      </c>
      <c r="V286" s="59">
        <f>SUM(V287:V292)</f>
        <v>1375.3</v>
      </c>
      <c r="W286" s="59">
        <f>SUM(W287:W295)</f>
        <v>7141.3</v>
      </c>
      <c r="X286" s="59">
        <f t="shared" ref="X286:Z286" si="91">SUM(X287:X295)</f>
        <v>909.7</v>
      </c>
      <c r="Y286" s="59">
        <f t="shared" si="91"/>
        <v>0</v>
      </c>
      <c r="Z286" s="59">
        <f t="shared" si="91"/>
        <v>0</v>
      </c>
      <c r="AA286" s="59">
        <f>SUM(T286:Z286)</f>
        <v>16502.7</v>
      </c>
      <c r="AB286" s="58">
        <v>2022</v>
      </c>
      <c r="AC286" s="124"/>
      <c r="AD286" s="101"/>
      <c r="AE286" s="101"/>
    </row>
    <row r="287" spans="1:31" x14ac:dyDescent="0.25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18</v>
      </c>
      <c r="F287" s="54" t="s">
        <v>18</v>
      </c>
      <c r="G287" s="54" t="s">
        <v>18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19</v>
      </c>
      <c r="N287" s="54" t="s">
        <v>18</v>
      </c>
      <c r="O287" s="54" t="s">
        <v>24</v>
      </c>
      <c r="P287" s="54" t="s">
        <v>22</v>
      </c>
      <c r="Q287" s="54" t="s">
        <v>45</v>
      </c>
      <c r="R287" s="160"/>
      <c r="S287" s="163"/>
      <c r="T287" s="1">
        <f>T299+T305+T310+T315+T320+T325</f>
        <v>1609.7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ref="AA287:AA295" si="92">SUM(T287:Z287)</f>
        <v>1609.7</v>
      </c>
      <c r="AB287" s="58">
        <v>2018</v>
      </c>
      <c r="AC287" s="124"/>
      <c r="AD287" s="101"/>
      <c r="AE287" s="101"/>
    </row>
    <row r="288" spans="1:31" ht="15.6" hidden="1" customHeight="1" x14ac:dyDescent="0.25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18</v>
      </c>
      <c r="F288" s="54" t="s">
        <v>18</v>
      </c>
      <c r="G288" s="54" t="s">
        <v>18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43</v>
      </c>
      <c r="P288" s="54" t="s">
        <v>22</v>
      </c>
      <c r="Q288" s="54" t="s">
        <v>170</v>
      </c>
      <c r="R288" s="160"/>
      <c r="S288" s="163"/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2"/>
        <v>0</v>
      </c>
      <c r="AB288" s="58">
        <v>2018</v>
      </c>
      <c r="AC288" s="124"/>
      <c r="AD288" s="101"/>
      <c r="AE288" s="101"/>
    </row>
    <row r="289" spans="1:31" x14ac:dyDescent="0.25">
      <c r="A289" s="54" t="s">
        <v>18</v>
      </c>
      <c r="B289" s="54" t="s">
        <v>18</v>
      </c>
      <c r="C289" s="54" t="s">
        <v>24</v>
      </c>
      <c r="D289" s="54" t="s">
        <v>18</v>
      </c>
      <c r="E289" s="54" t="s">
        <v>18</v>
      </c>
      <c r="F289" s="54" t="s">
        <v>18</v>
      </c>
      <c r="G289" s="54" t="s">
        <v>18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46</v>
      </c>
      <c r="R289" s="160"/>
      <c r="S289" s="163"/>
      <c r="T289" s="1">
        <f>T301+T306+T311+T316+T321+T326</f>
        <v>441.79999999999995</v>
      </c>
      <c r="U289" s="1">
        <v>394.2</v>
      </c>
      <c r="V289" s="1">
        <v>235.1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2"/>
        <v>1071.0999999999999</v>
      </c>
      <c r="AB289" s="58">
        <v>2020</v>
      </c>
      <c r="AC289" s="124"/>
      <c r="AD289" s="101"/>
      <c r="AE289" s="101"/>
    </row>
    <row r="290" spans="1:31" x14ac:dyDescent="0.25">
      <c r="A290" s="54" t="s">
        <v>18</v>
      </c>
      <c r="B290" s="54" t="s">
        <v>18</v>
      </c>
      <c r="C290" s="54" t="s">
        <v>24</v>
      </c>
      <c r="D290" s="54" t="s">
        <v>18</v>
      </c>
      <c r="E290" s="54" t="s">
        <v>18</v>
      </c>
      <c r="F290" s="54" t="s">
        <v>18</v>
      </c>
      <c r="G290" s="54" t="s">
        <v>18</v>
      </c>
      <c r="H290" s="54" t="s">
        <v>19</v>
      </c>
      <c r="I290" s="54" t="s">
        <v>24</v>
      </c>
      <c r="J290" s="54" t="s">
        <v>18</v>
      </c>
      <c r="K290" s="54" t="s">
        <v>18</v>
      </c>
      <c r="L290" s="54" t="s">
        <v>20</v>
      </c>
      <c r="M290" s="54" t="s">
        <v>37</v>
      </c>
      <c r="N290" s="54" t="s">
        <v>18</v>
      </c>
      <c r="O290" s="54" t="s">
        <v>24</v>
      </c>
      <c r="P290" s="54" t="s">
        <v>22</v>
      </c>
      <c r="Q290" s="54" t="s">
        <v>39</v>
      </c>
      <c r="R290" s="160"/>
      <c r="S290" s="163"/>
      <c r="T290" s="1">
        <v>1388.6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 t="shared" si="92"/>
        <v>1388.6</v>
      </c>
      <c r="AB290" s="58">
        <v>2018</v>
      </c>
      <c r="AC290" s="124"/>
      <c r="AD290" s="101"/>
      <c r="AE290" s="101"/>
    </row>
    <row r="291" spans="1:31" x14ac:dyDescent="0.25">
      <c r="A291" s="54" t="s">
        <v>18</v>
      </c>
      <c r="B291" s="54" t="s">
        <v>18</v>
      </c>
      <c r="C291" s="54" t="s">
        <v>24</v>
      </c>
      <c r="D291" s="54" t="s">
        <v>18</v>
      </c>
      <c r="E291" s="54" t="s">
        <v>18</v>
      </c>
      <c r="F291" s="54" t="s">
        <v>18</v>
      </c>
      <c r="G291" s="54" t="s">
        <v>18</v>
      </c>
      <c r="H291" s="54" t="s">
        <v>19</v>
      </c>
      <c r="I291" s="54" t="s">
        <v>24</v>
      </c>
      <c r="J291" s="54" t="s">
        <v>18</v>
      </c>
      <c r="K291" s="54" t="s">
        <v>18</v>
      </c>
      <c r="L291" s="54" t="s">
        <v>20</v>
      </c>
      <c r="M291" s="54" t="s">
        <v>19</v>
      </c>
      <c r="N291" s="54" t="s">
        <v>18</v>
      </c>
      <c r="O291" s="54" t="s">
        <v>24</v>
      </c>
      <c r="P291" s="54" t="s">
        <v>22</v>
      </c>
      <c r="Q291" s="54" t="s">
        <v>18</v>
      </c>
      <c r="R291" s="160"/>
      <c r="S291" s="163"/>
      <c r="T291" s="1">
        <v>0</v>
      </c>
      <c r="U291" s="1">
        <f>1865.4-95.4</f>
        <v>1770</v>
      </c>
      <c r="V291" s="1">
        <f>600-600</f>
        <v>0</v>
      </c>
      <c r="W291" s="1">
        <v>0</v>
      </c>
      <c r="X291" s="1">
        <v>0</v>
      </c>
      <c r="Y291" s="1">
        <v>0</v>
      </c>
      <c r="Z291" s="1">
        <v>0</v>
      </c>
      <c r="AA291" s="59">
        <f t="shared" si="92"/>
        <v>1770</v>
      </c>
      <c r="AB291" s="58">
        <v>2019</v>
      </c>
      <c r="AC291" s="124"/>
      <c r="AD291" s="101"/>
      <c r="AE291" s="101"/>
    </row>
    <row r="292" spans="1:3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18</v>
      </c>
      <c r="F292" s="54" t="s">
        <v>18</v>
      </c>
      <c r="G292" s="54" t="s">
        <v>18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37</v>
      </c>
      <c r="N292" s="54" t="s">
        <v>18</v>
      </c>
      <c r="O292" s="54" t="s">
        <v>24</v>
      </c>
      <c r="P292" s="54" t="s">
        <v>22</v>
      </c>
      <c r="Q292" s="54" t="s">
        <v>18</v>
      </c>
      <c r="R292" s="160"/>
      <c r="S292" s="163"/>
      <c r="T292" s="1">
        <v>0</v>
      </c>
      <c r="U292" s="1">
        <v>1472.1</v>
      </c>
      <c r="V292" s="1">
        <f>540.2+600</f>
        <v>1140.2</v>
      </c>
      <c r="W292" s="1">
        <v>0</v>
      </c>
      <c r="X292" s="1">
        <v>0</v>
      </c>
      <c r="Y292" s="1">
        <v>0</v>
      </c>
      <c r="Z292" s="1">
        <v>0</v>
      </c>
      <c r="AA292" s="59">
        <f t="shared" si="92"/>
        <v>2612.3000000000002</v>
      </c>
      <c r="AB292" s="58">
        <v>2020</v>
      </c>
      <c r="AC292" s="124"/>
      <c r="AD292" s="101"/>
      <c r="AE292" s="101"/>
    </row>
    <row r="293" spans="1:3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18</v>
      </c>
      <c r="F293" s="54" t="s">
        <v>18</v>
      </c>
      <c r="G293" s="54" t="s">
        <v>18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43</v>
      </c>
      <c r="O293" s="54" t="s">
        <v>18</v>
      </c>
      <c r="P293" s="54" t="s">
        <v>18</v>
      </c>
      <c r="Q293" s="54" t="s">
        <v>18</v>
      </c>
      <c r="R293" s="160"/>
      <c r="S293" s="163"/>
      <c r="T293" s="1">
        <v>0</v>
      </c>
      <c r="U293" s="1">
        <v>0</v>
      </c>
      <c r="V293" s="1">
        <v>0</v>
      </c>
      <c r="W293" s="1">
        <v>2000.4</v>
      </c>
      <c r="X293" s="1">
        <v>530.5</v>
      </c>
      <c r="Y293" s="1">
        <v>0</v>
      </c>
      <c r="Z293" s="1">
        <v>0</v>
      </c>
      <c r="AA293" s="59">
        <f t="shared" si="92"/>
        <v>2530.9</v>
      </c>
      <c r="AB293" s="58">
        <v>2022</v>
      </c>
      <c r="AC293" s="124"/>
      <c r="AD293" s="101"/>
      <c r="AE293" s="101"/>
    </row>
    <row r="294" spans="1:3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18</v>
      </c>
      <c r="F294" s="54" t="s">
        <v>18</v>
      </c>
      <c r="G294" s="54" t="s">
        <v>18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19</v>
      </c>
      <c r="N294" s="54" t="s">
        <v>43</v>
      </c>
      <c r="O294" s="54" t="s">
        <v>18</v>
      </c>
      <c r="P294" s="54" t="s">
        <v>18</v>
      </c>
      <c r="Q294" s="54" t="s">
        <v>18</v>
      </c>
      <c r="R294" s="160"/>
      <c r="S294" s="163"/>
      <c r="T294" s="1">
        <v>0</v>
      </c>
      <c r="U294" s="1">
        <v>0</v>
      </c>
      <c r="V294" s="1">
        <v>0</v>
      </c>
      <c r="W294" s="1">
        <v>4045.4</v>
      </c>
      <c r="X294" s="1">
        <v>305.2</v>
      </c>
      <c r="Y294" s="1">
        <v>0</v>
      </c>
      <c r="Z294" s="1">
        <v>0</v>
      </c>
      <c r="AA294" s="59">
        <f t="shared" si="92"/>
        <v>4350.6000000000004</v>
      </c>
      <c r="AB294" s="58">
        <v>2022</v>
      </c>
      <c r="AC294" s="124"/>
      <c r="AD294" s="101"/>
      <c r="AE294" s="101"/>
    </row>
    <row r="295" spans="1:31" x14ac:dyDescent="0.25">
      <c r="A295" s="54" t="s">
        <v>18</v>
      </c>
      <c r="B295" s="54" t="s">
        <v>18</v>
      </c>
      <c r="C295" s="54" t="s">
        <v>24</v>
      </c>
      <c r="D295" s="54" t="s">
        <v>18</v>
      </c>
      <c r="E295" s="54" t="s">
        <v>18</v>
      </c>
      <c r="F295" s="54" t="s">
        <v>18</v>
      </c>
      <c r="G295" s="54" t="s">
        <v>18</v>
      </c>
      <c r="H295" s="54" t="s">
        <v>19</v>
      </c>
      <c r="I295" s="54" t="s">
        <v>24</v>
      </c>
      <c r="J295" s="54" t="s">
        <v>18</v>
      </c>
      <c r="K295" s="54" t="s">
        <v>18</v>
      </c>
      <c r="L295" s="54" t="s">
        <v>20</v>
      </c>
      <c r="M295" s="54" t="s">
        <v>37</v>
      </c>
      <c r="N295" s="54" t="s">
        <v>43</v>
      </c>
      <c r="O295" s="54" t="s">
        <v>46</v>
      </c>
      <c r="P295" s="54" t="s">
        <v>18</v>
      </c>
      <c r="Q295" s="54" t="s">
        <v>18</v>
      </c>
      <c r="R295" s="161"/>
      <c r="S295" s="164"/>
      <c r="T295" s="1">
        <v>0</v>
      </c>
      <c r="U295" s="1">
        <v>0</v>
      </c>
      <c r="V295" s="1">
        <v>0</v>
      </c>
      <c r="W295" s="1">
        <v>1095.5</v>
      </c>
      <c r="X295" s="1">
        <v>74</v>
      </c>
      <c r="Y295" s="1">
        <v>0</v>
      </c>
      <c r="Z295" s="1">
        <v>0</v>
      </c>
      <c r="AA295" s="59">
        <f t="shared" si="92"/>
        <v>1169.5</v>
      </c>
      <c r="AB295" s="58">
        <v>2022</v>
      </c>
      <c r="AC295" s="124"/>
      <c r="AD295" s="101"/>
      <c r="AE295" s="101"/>
    </row>
    <row r="296" spans="1:31" ht="47.25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80" t="s">
        <v>301</v>
      </c>
      <c r="S296" s="62" t="s">
        <v>52</v>
      </c>
      <c r="T296" s="3">
        <v>0.2</v>
      </c>
      <c r="U296" s="3">
        <v>1.2</v>
      </c>
      <c r="V296" s="3">
        <v>0</v>
      </c>
      <c r="W296" s="3">
        <v>1.1000000000000001</v>
      </c>
      <c r="X296" s="3">
        <v>0</v>
      </c>
      <c r="Y296" s="3">
        <v>0</v>
      </c>
      <c r="Z296" s="3">
        <v>0</v>
      </c>
      <c r="AA296" s="6">
        <f t="shared" si="90"/>
        <v>2.5</v>
      </c>
      <c r="AB296" s="41">
        <v>2021</v>
      </c>
      <c r="AC296" s="128"/>
      <c r="AD296" s="101"/>
      <c r="AE296" s="101"/>
    </row>
    <row r="297" spans="1:31" ht="47.25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80" t="s">
        <v>302</v>
      </c>
      <c r="S297" s="84" t="s">
        <v>50</v>
      </c>
      <c r="T297" s="44">
        <v>6</v>
      </c>
      <c r="U297" s="44">
        <v>5</v>
      </c>
      <c r="V297" s="44">
        <v>1</v>
      </c>
      <c r="W297" s="44">
        <v>8</v>
      </c>
      <c r="X297" s="44">
        <v>1</v>
      </c>
      <c r="Y297" s="44">
        <v>0</v>
      </c>
      <c r="Z297" s="44">
        <v>0</v>
      </c>
      <c r="AA297" s="49">
        <f t="shared" si="90"/>
        <v>21</v>
      </c>
      <c r="AB297" s="41">
        <v>2022</v>
      </c>
      <c r="AC297" s="128"/>
      <c r="AD297" s="101"/>
      <c r="AE297" s="101"/>
    </row>
    <row r="298" spans="1:31" ht="16.350000000000001" hidden="1" customHeight="1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165" t="s">
        <v>193</v>
      </c>
      <c r="S298" s="63" t="s">
        <v>0</v>
      </c>
      <c r="T298" s="1">
        <f>SUM(T299:T302)</f>
        <v>943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0"/>
        <v>943</v>
      </c>
      <c r="AB298" s="58">
        <v>2018</v>
      </c>
      <c r="AC298" s="9"/>
      <c r="AD298" s="101"/>
      <c r="AE298" s="101"/>
    </row>
    <row r="299" spans="1:31" ht="16.350000000000001" hidden="1" customHeight="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24</v>
      </c>
      <c r="F299" s="54" t="s">
        <v>18</v>
      </c>
      <c r="G299" s="54" t="s">
        <v>43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19</v>
      </c>
      <c r="N299" s="54" t="s">
        <v>18</v>
      </c>
      <c r="O299" s="54" t="s">
        <v>24</v>
      </c>
      <c r="P299" s="54" t="s">
        <v>22</v>
      </c>
      <c r="Q299" s="54" t="s">
        <v>45</v>
      </c>
      <c r="R299" s="165"/>
      <c r="S299" s="63" t="s">
        <v>0</v>
      </c>
      <c r="T299" s="1">
        <v>377.2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90"/>
        <v>377.2</v>
      </c>
      <c r="AB299" s="58">
        <v>2018</v>
      </c>
      <c r="AC299" s="9"/>
      <c r="AD299" s="101"/>
      <c r="AE299" s="101"/>
    </row>
    <row r="300" spans="1:31" ht="16.350000000000001" hidden="1" customHeight="1" x14ac:dyDescent="0.25">
      <c r="A300" s="54" t="s">
        <v>18</v>
      </c>
      <c r="B300" s="54" t="s">
        <v>18</v>
      </c>
      <c r="C300" s="54" t="s">
        <v>24</v>
      </c>
      <c r="D300" s="54" t="s">
        <v>18</v>
      </c>
      <c r="E300" s="54" t="s">
        <v>24</v>
      </c>
      <c r="F300" s="54" t="s">
        <v>18</v>
      </c>
      <c r="G300" s="54" t="s">
        <v>43</v>
      </c>
      <c r="H300" s="54" t="s">
        <v>19</v>
      </c>
      <c r="I300" s="54" t="s">
        <v>24</v>
      </c>
      <c r="J300" s="54" t="s">
        <v>18</v>
      </c>
      <c r="K300" s="54" t="s">
        <v>18</v>
      </c>
      <c r="L300" s="54" t="s">
        <v>20</v>
      </c>
      <c r="M300" s="54" t="s">
        <v>37</v>
      </c>
      <c r="N300" s="54" t="s">
        <v>18</v>
      </c>
      <c r="O300" s="54" t="s">
        <v>43</v>
      </c>
      <c r="P300" s="54" t="s">
        <v>22</v>
      </c>
      <c r="Q300" s="54" t="s">
        <v>170</v>
      </c>
      <c r="R300" s="165"/>
      <c r="S300" s="63" t="s">
        <v>0</v>
      </c>
      <c r="T300" s="1">
        <v>30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59">
        <f t="shared" si="90"/>
        <v>30</v>
      </c>
      <c r="AB300" s="58">
        <v>2018</v>
      </c>
      <c r="AC300" s="9"/>
      <c r="AD300" s="101"/>
      <c r="AE300" s="101"/>
    </row>
    <row r="301" spans="1:31" ht="16.350000000000001" hidden="1" customHeight="1" x14ac:dyDescent="0.25">
      <c r="A301" s="54" t="s">
        <v>18</v>
      </c>
      <c r="B301" s="54" t="s">
        <v>18</v>
      </c>
      <c r="C301" s="54" t="s">
        <v>24</v>
      </c>
      <c r="D301" s="54" t="s">
        <v>18</v>
      </c>
      <c r="E301" s="54" t="s">
        <v>24</v>
      </c>
      <c r="F301" s="54" t="s">
        <v>18</v>
      </c>
      <c r="G301" s="54" t="s">
        <v>43</v>
      </c>
      <c r="H301" s="54" t="s">
        <v>19</v>
      </c>
      <c r="I301" s="54" t="s">
        <v>24</v>
      </c>
      <c r="J301" s="54" t="s">
        <v>18</v>
      </c>
      <c r="K301" s="54" t="s">
        <v>18</v>
      </c>
      <c r="L301" s="54" t="s">
        <v>20</v>
      </c>
      <c r="M301" s="54" t="s">
        <v>37</v>
      </c>
      <c r="N301" s="54" t="s">
        <v>18</v>
      </c>
      <c r="O301" s="54" t="s">
        <v>24</v>
      </c>
      <c r="P301" s="54" t="s">
        <v>22</v>
      </c>
      <c r="Q301" s="54" t="s">
        <v>46</v>
      </c>
      <c r="R301" s="165"/>
      <c r="S301" s="63" t="s">
        <v>0</v>
      </c>
      <c r="T301" s="1">
        <v>113.2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90"/>
        <v>113.2</v>
      </c>
      <c r="AB301" s="58">
        <v>2018</v>
      </c>
      <c r="AC301" s="9"/>
      <c r="AD301" s="101"/>
      <c r="AE301" s="101"/>
    </row>
    <row r="302" spans="1:31" ht="16.350000000000001" hidden="1" customHeight="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24</v>
      </c>
      <c r="F302" s="54" t="s">
        <v>18</v>
      </c>
      <c r="G302" s="54" t="s">
        <v>43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37</v>
      </c>
      <c r="N302" s="54" t="s">
        <v>18</v>
      </c>
      <c r="O302" s="54" t="s">
        <v>24</v>
      </c>
      <c r="P302" s="54" t="s">
        <v>22</v>
      </c>
      <c r="Q302" s="54" t="s">
        <v>39</v>
      </c>
      <c r="R302" s="165"/>
      <c r="S302" s="63" t="s">
        <v>0</v>
      </c>
      <c r="T302" s="1">
        <v>422.6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90"/>
        <v>422.6</v>
      </c>
      <c r="AB302" s="58">
        <v>2018</v>
      </c>
      <c r="AC302" s="9"/>
      <c r="AD302" s="101"/>
      <c r="AE302" s="101"/>
    </row>
    <row r="303" spans="1:31" ht="33.6" hidden="1" customHeight="1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88" t="s">
        <v>194</v>
      </c>
      <c r="S303" s="84" t="s">
        <v>167</v>
      </c>
      <c r="T303" s="3">
        <v>1046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6">
        <f t="shared" si="90"/>
        <v>1046</v>
      </c>
      <c r="AB303" s="41">
        <v>2018</v>
      </c>
      <c r="AC303" s="9"/>
      <c r="AD303" s="101"/>
      <c r="AE303" s="101"/>
    </row>
    <row r="304" spans="1:31" ht="21.75" hidden="1" customHeight="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165" t="s">
        <v>195</v>
      </c>
      <c r="S304" s="63" t="s">
        <v>0</v>
      </c>
      <c r="T304" s="1">
        <f>SUM(T305:T307)</f>
        <v>835.4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>SUM(T304:Y304)</f>
        <v>835.4</v>
      </c>
      <c r="AB304" s="58">
        <v>2018</v>
      </c>
      <c r="AC304" s="9"/>
      <c r="AD304" s="101"/>
      <c r="AE304" s="101"/>
    </row>
    <row r="305" spans="1:31" ht="22.9" hidden="1" customHeight="1" x14ac:dyDescent="0.25">
      <c r="A305" s="54" t="s">
        <v>18</v>
      </c>
      <c r="B305" s="54" t="s">
        <v>18</v>
      </c>
      <c r="C305" s="54" t="s">
        <v>24</v>
      </c>
      <c r="D305" s="54" t="s">
        <v>18</v>
      </c>
      <c r="E305" s="54" t="s">
        <v>21</v>
      </c>
      <c r="F305" s="54" t="s">
        <v>18</v>
      </c>
      <c r="G305" s="54" t="s">
        <v>22</v>
      </c>
      <c r="H305" s="54" t="s">
        <v>19</v>
      </c>
      <c r="I305" s="54" t="s">
        <v>24</v>
      </c>
      <c r="J305" s="54" t="s">
        <v>18</v>
      </c>
      <c r="K305" s="54" t="s">
        <v>18</v>
      </c>
      <c r="L305" s="54" t="s">
        <v>20</v>
      </c>
      <c r="M305" s="54" t="s">
        <v>19</v>
      </c>
      <c r="N305" s="54" t="s">
        <v>18</v>
      </c>
      <c r="O305" s="54" t="s">
        <v>24</v>
      </c>
      <c r="P305" s="54" t="s">
        <v>22</v>
      </c>
      <c r="Q305" s="54" t="s">
        <v>45</v>
      </c>
      <c r="R305" s="165"/>
      <c r="S305" s="63" t="s">
        <v>0</v>
      </c>
      <c r="T305" s="1">
        <v>334.2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9">
        <f>SUM(T305:Y305)</f>
        <v>334.2</v>
      </c>
      <c r="AB305" s="58">
        <v>2018</v>
      </c>
      <c r="AC305" s="9"/>
      <c r="AD305" s="101"/>
      <c r="AE305" s="101"/>
    </row>
    <row r="306" spans="1:31" ht="22.15" hidden="1" customHeight="1" x14ac:dyDescent="0.25">
      <c r="A306" s="54" t="s">
        <v>18</v>
      </c>
      <c r="B306" s="54" t="s">
        <v>18</v>
      </c>
      <c r="C306" s="54" t="s">
        <v>24</v>
      </c>
      <c r="D306" s="54" t="s">
        <v>18</v>
      </c>
      <c r="E306" s="54" t="s">
        <v>21</v>
      </c>
      <c r="F306" s="54" t="s">
        <v>18</v>
      </c>
      <c r="G306" s="54" t="s">
        <v>22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37</v>
      </c>
      <c r="N306" s="54" t="s">
        <v>18</v>
      </c>
      <c r="O306" s="54" t="s">
        <v>24</v>
      </c>
      <c r="P306" s="54" t="s">
        <v>22</v>
      </c>
      <c r="Q306" s="54" t="s">
        <v>46</v>
      </c>
      <c r="R306" s="165"/>
      <c r="S306" s="63" t="s">
        <v>0</v>
      </c>
      <c r="T306" s="1">
        <v>83.5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>SUM(T306:Y306)</f>
        <v>83.5</v>
      </c>
      <c r="AB306" s="58">
        <v>2018</v>
      </c>
      <c r="AC306" s="9"/>
      <c r="AD306" s="101"/>
      <c r="AE306" s="101"/>
    </row>
    <row r="307" spans="1:31" ht="21.75" hidden="1" customHeight="1" x14ac:dyDescent="0.25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21</v>
      </c>
      <c r="F307" s="54" t="s">
        <v>18</v>
      </c>
      <c r="G307" s="54" t="s">
        <v>22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37</v>
      </c>
      <c r="N307" s="54" t="s">
        <v>18</v>
      </c>
      <c r="O307" s="54" t="s">
        <v>24</v>
      </c>
      <c r="P307" s="54" t="s">
        <v>22</v>
      </c>
      <c r="Q307" s="54" t="s">
        <v>39</v>
      </c>
      <c r="R307" s="165"/>
      <c r="S307" s="63" t="s">
        <v>0</v>
      </c>
      <c r="T307" s="1">
        <v>417.7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>SUM(T307:Y307)</f>
        <v>417.7</v>
      </c>
      <c r="AB307" s="58">
        <v>2018</v>
      </c>
      <c r="AC307" s="9"/>
      <c r="AD307" s="101"/>
      <c r="AE307" s="101"/>
    </row>
    <row r="308" spans="1:31" ht="47.45" hidden="1" customHeight="1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88" t="s">
        <v>196</v>
      </c>
      <c r="S308" s="84" t="s">
        <v>8</v>
      </c>
      <c r="T308" s="44">
        <v>1</v>
      </c>
      <c r="U308" s="44">
        <v>0</v>
      </c>
      <c r="V308" s="44">
        <v>0</v>
      </c>
      <c r="W308" s="44">
        <v>0</v>
      </c>
      <c r="X308" s="44">
        <v>0</v>
      </c>
      <c r="Y308" s="44">
        <v>0</v>
      </c>
      <c r="Z308" s="44">
        <v>0</v>
      </c>
      <c r="AA308" s="6">
        <f>SUM(T308:Y308)</f>
        <v>1</v>
      </c>
      <c r="AB308" s="41">
        <v>2018</v>
      </c>
      <c r="AC308" s="9"/>
      <c r="AD308" s="101"/>
      <c r="AE308" s="101"/>
    </row>
    <row r="309" spans="1:31" ht="16.350000000000001" hidden="1" customHeight="1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165" t="s">
        <v>197</v>
      </c>
      <c r="S309" s="63" t="s">
        <v>0</v>
      </c>
      <c r="T309" s="1">
        <f>SUM(T310:T312)</f>
        <v>952.5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ref="AA309:AA342" si="93">SUM(T309:Y309)</f>
        <v>952.5</v>
      </c>
      <c r="AB309" s="58">
        <v>2018</v>
      </c>
      <c r="AC309" s="9"/>
      <c r="AD309" s="101"/>
      <c r="AE309" s="101"/>
    </row>
    <row r="310" spans="1:31" ht="16.350000000000001" hidden="1" customHeight="1" x14ac:dyDescent="0.25">
      <c r="A310" s="54" t="s">
        <v>18</v>
      </c>
      <c r="B310" s="54" t="s">
        <v>18</v>
      </c>
      <c r="C310" s="54" t="s">
        <v>24</v>
      </c>
      <c r="D310" s="54" t="s">
        <v>18</v>
      </c>
      <c r="E310" s="54" t="s">
        <v>21</v>
      </c>
      <c r="F310" s="54" t="s">
        <v>18</v>
      </c>
      <c r="G310" s="54" t="s">
        <v>22</v>
      </c>
      <c r="H310" s="54" t="s">
        <v>19</v>
      </c>
      <c r="I310" s="54" t="s">
        <v>24</v>
      </c>
      <c r="J310" s="54" t="s">
        <v>18</v>
      </c>
      <c r="K310" s="54" t="s">
        <v>18</v>
      </c>
      <c r="L310" s="54" t="s">
        <v>20</v>
      </c>
      <c r="M310" s="54" t="s">
        <v>19</v>
      </c>
      <c r="N310" s="54" t="s">
        <v>18</v>
      </c>
      <c r="O310" s="54" t="s">
        <v>24</v>
      </c>
      <c r="P310" s="54" t="s">
        <v>22</v>
      </c>
      <c r="Q310" s="54" t="s">
        <v>45</v>
      </c>
      <c r="R310" s="165"/>
      <c r="S310" s="63" t="s">
        <v>0</v>
      </c>
      <c r="T310" s="1">
        <v>381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 t="shared" si="93"/>
        <v>381</v>
      </c>
      <c r="AB310" s="58">
        <v>2018</v>
      </c>
      <c r="AC310" s="9"/>
      <c r="AD310" s="101"/>
      <c r="AE310" s="101"/>
    </row>
    <row r="311" spans="1:31" ht="16.350000000000001" hidden="1" customHeight="1" x14ac:dyDescent="0.25">
      <c r="A311" s="54" t="s">
        <v>18</v>
      </c>
      <c r="B311" s="54" t="s">
        <v>18</v>
      </c>
      <c r="C311" s="54" t="s">
        <v>24</v>
      </c>
      <c r="D311" s="54" t="s">
        <v>18</v>
      </c>
      <c r="E311" s="54" t="s">
        <v>21</v>
      </c>
      <c r="F311" s="54" t="s">
        <v>18</v>
      </c>
      <c r="G311" s="54" t="s">
        <v>22</v>
      </c>
      <c r="H311" s="54" t="s">
        <v>19</v>
      </c>
      <c r="I311" s="54" t="s">
        <v>24</v>
      </c>
      <c r="J311" s="54" t="s">
        <v>18</v>
      </c>
      <c r="K311" s="54" t="s">
        <v>18</v>
      </c>
      <c r="L311" s="54" t="s">
        <v>20</v>
      </c>
      <c r="M311" s="54" t="s">
        <v>37</v>
      </c>
      <c r="N311" s="54" t="s">
        <v>18</v>
      </c>
      <c r="O311" s="54" t="s">
        <v>24</v>
      </c>
      <c r="P311" s="54" t="s">
        <v>22</v>
      </c>
      <c r="Q311" s="54" t="s">
        <v>46</v>
      </c>
      <c r="R311" s="165"/>
      <c r="S311" s="63" t="s">
        <v>0</v>
      </c>
      <c r="T311" s="1">
        <v>114.3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si="93"/>
        <v>114.3</v>
      </c>
      <c r="AB311" s="58">
        <v>2018</v>
      </c>
      <c r="AC311" s="9"/>
      <c r="AD311" s="101"/>
      <c r="AE311" s="101"/>
    </row>
    <row r="312" spans="1:31" ht="16.350000000000001" hidden="1" customHeight="1" x14ac:dyDescent="0.25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37</v>
      </c>
      <c r="N312" s="54" t="s">
        <v>18</v>
      </c>
      <c r="O312" s="54" t="s">
        <v>24</v>
      </c>
      <c r="P312" s="54" t="s">
        <v>22</v>
      </c>
      <c r="Q312" s="54" t="s">
        <v>39</v>
      </c>
      <c r="R312" s="165"/>
      <c r="S312" s="63" t="s">
        <v>0</v>
      </c>
      <c r="T312" s="1">
        <v>457.2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si="93"/>
        <v>457.2</v>
      </c>
      <c r="AB312" s="58">
        <v>2018</v>
      </c>
      <c r="AC312" s="9"/>
      <c r="AD312" s="101"/>
      <c r="AE312" s="101"/>
    </row>
    <row r="313" spans="1:31" ht="31.15" hidden="1" customHeight="1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80" t="s">
        <v>198</v>
      </c>
      <c r="S313" s="84" t="s">
        <v>167</v>
      </c>
      <c r="T313" s="3">
        <v>151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6">
        <f t="shared" si="93"/>
        <v>151</v>
      </c>
      <c r="AB313" s="41">
        <v>2018</v>
      </c>
      <c r="AC313" s="9"/>
      <c r="AD313" s="101"/>
      <c r="AE313" s="101"/>
    </row>
    <row r="314" spans="1:31" ht="15.6" hidden="1" customHeight="1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165" t="s">
        <v>199</v>
      </c>
      <c r="S314" s="63" t="s">
        <v>0</v>
      </c>
      <c r="T314" s="1">
        <f>SUM(T315:T317)</f>
        <v>435.8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9">
        <f t="shared" si="93"/>
        <v>435.8</v>
      </c>
      <c r="AB314" s="58">
        <v>2018</v>
      </c>
      <c r="AC314" s="9"/>
      <c r="AD314" s="101"/>
      <c r="AE314" s="101"/>
    </row>
    <row r="315" spans="1:31" ht="15.6" hidden="1" customHeight="1" x14ac:dyDescent="0.25">
      <c r="A315" s="54" t="s">
        <v>18</v>
      </c>
      <c r="B315" s="54" t="s">
        <v>18</v>
      </c>
      <c r="C315" s="54" t="s">
        <v>24</v>
      </c>
      <c r="D315" s="54" t="s">
        <v>18</v>
      </c>
      <c r="E315" s="54" t="s">
        <v>21</v>
      </c>
      <c r="F315" s="54" t="s">
        <v>18</v>
      </c>
      <c r="G315" s="54" t="s">
        <v>22</v>
      </c>
      <c r="H315" s="54" t="s">
        <v>19</v>
      </c>
      <c r="I315" s="54" t="s">
        <v>24</v>
      </c>
      <c r="J315" s="54" t="s">
        <v>18</v>
      </c>
      <c r="K315" s="54" t="s">
        <v>18</v>
      </c>
      <c r="L315" s="54" t="s">
        <v>20</v>
      </c>
      <c r="M315" s="54" t="s">
        <v>19</v>
      </c>
      <c r="N315" s="54" t="s">
        <v>18</v>
      </c>
      <c r="O315" s="54" t="s">
        <v>24</v>
      </c>
      <c r="P315" s="54" t="s">
        <v>22</v>
      </c>
      <c r="Q315" s="54" t="s">
        <v>45</v>
      </c>
      <c r="R315" s="165"/>
      <c r="S315" s="63" t="s">
        <v>0</v>
      </c>
      <c r="T315" s="1">
        <v>174.3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9">
        <f t="shared" si="93"/>
        <v>174.3</v>
      </c>
      <c r="AB315" s="58">
        <v>2018</v>
      </c>
      <c r="AC315" s="9"/>
      <c r="AD315" s="101"/>
      <c r="AE315" s="101"/>
    </row>
    <row r="316" spans="1:31" ht="15.6" hidden="1" customHeight="1" x14ac:dyDescent="0.25">
      <c r="A316" s="54" t="s">
        <v>18</v>
      </c>
      <c r="B316" s="54" t="s">
        <v>18</v>
      </c>
      <c r="C316" s="54" t="s">
        <v>24</v>
      </c>
      <c r="D316" s="54" t="s">
        <v>18</v>
      </c>
      <c r="E316" s="54" t="s">
        <v>21</v>
      </c>
      <c r="F316" s="54" t="s">
        <v>18</v>
      </c>
      <c r="G316" s="54" t="s">
        <v>22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37</v>
      </c>
      <c r="N316" s="54" t="s">
        <v>18</v>
      </c>
      <c r="O316" s="54" t="s">
        <v>24</v>
      </c>
      <c r="P316" s="54" t="s">
        <v>22</v>
      </c>
      <c r="Q316" s="54" t="s">
        <v>46</v>
      </c>
      <c r="R316" s="165"/>
      <c r="S316" s="63" t="s">
        <v>0</v>
      </c>
      <c r="T316" s="1">
        <v>45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3"/>
        <v>45</v>
      </c>
      <c r="AB316" s="58">
        <v>2018</v>
      </c>
      <c r="AC316" s="9"/>
      <c r="AD316" s="101"/>
      <c r="AE316" s="101"/>
    </row>
    <row r="317" spans="1:31" ht="15.6" hidden="1" customHeight="1" x14ac:dyDescent="0.25">
      <c r="A317" s="54" t="s">
        <v>18</v>
      </c>
      <c r="B317" s="54" t="s">
        <v>18</v>
      </c>
      <c r="C317" s="54" t="s">
        <v>24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37</v>
      </c>
      <c r="N317" s="54" t="s">
        <v>18</v>
      </c>
      <c r="O317" s="54" t="s">
        <v>24</v>
      </c>
      <c r="P317" s="54" t="s">
        <v>22</v>
      </c>
      <c r="Q317" s="54" t="s">
        <v>39</v>
      </c>
      <c r="R317" s="165"/>
      <c r="S317" s="63" t="s">
        <v>0</v>
      </c>
      <c r="T317" s="1">
        <v>216.5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3"/>
        <v>216.5</v>
      </c>
      <c r="AB317" s="58">
        <v>2018</v>
      </c>
      <c r="AC317" s="9"/>
      <c r="AD317" s="101"/>
      <c r="AE317" s="101"/>
    </row>
    <row r="318" spans="1:31" ht="46.9" hidden="1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80" t="s">
        <v>200</v>
      </c>
      <c r="S318" s="84" t="s">
        <v>50</v>
      </c>
      <c r="T318" s="44">
        <v>16</v>
      </c>
      <c r="U318" s="44">
        <v>0</v>
      </c>
      <c r="V318" s="44">
        <v>0</v>
      </c>
      <c r="W318" s="44">
        <v>0</v>
      </c>
      <c r="X318" s="44">
        <v>0</v>
      </c>
      <c r="Y318" s="44">
        <v>0</v>
      </c>
      <c r="Z318" s="44">
        <v>0</v>
      </c>
      <c r="AA318" s="49">
        <f t="shared" si="93"/>
        <v>16</v>
      </c>
      <c r="AB318" s="41">
        <v>2018</v>
      </c>
      <c r="AC318" s="9"/>
      <c r="AD318" s="101"/>
      <c r="AE318" s="101"/>
    </row>
    <row r="319" spans="1:31" ht="15.6" hidden="1" customHeight="1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165" t="s">
        <v>201</v>
      </c>
      <c r="S319" s="63" t="s">
        <v>0</v>
      </c>
      <c r="T319" s="1">
        <f>SUM(T320:T322)</f>
        <v>349.1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3"/>
        <v>349.1</v>
      </c>
      <c r="AB319" s="58">
        <v>2018</v>
      </c>
      <c r="AC319" s="9"/>
      <c r="AD319" s="101"/>
      <c r="AE319" s="101"/>
    </row>
    <row r="320" spans="1:31" ht="15.6" hidden="1" customHeight="1" x14ac:dyDescent="0.25">
      <c r="A320" s="54" t="s">
        <v>18</v>
      </c>
      <c r="B320" s="54" t="s">
        <v>18</v>
      </c>
      <c r="C320" s="54" t="s">
        <v>24</v>
      </c>
      <c r="D320" s="54" t="s">
        <v>18</v>
      </c>
      <c r="E320" s="54" t="s">
        <v>21</v>
      </c>
      <c r="F320" s="54" t="s">
        <v>18</v>
      </c>
      <c r="G320" s="54" t="s">
        <v>22</v>
      </c>
      <c r="H320" s="54" t="s">
        <v>19</v>
      </c>
      <c r="I320" s="54" t="s">
        <v>24</v>
      </c>
      <c r="J320" s="54" t="s">
        <v>18</v>
      </c>
      <c r="K320" s="54" t="s">
        <v>18</v>
      </c>
      <c r="L320" s="54" t="s">
        <v>20</v>
      </c>
      <c r="M320" s="54" t="s">
        <v>19</v>
      </c>
      <c r="N320" s="54" t="s">
        <v>18</v>
      </c>
      <c r="O320" s="54" t="s">
        <v>24</v>
      </c>
      <c r="P320" s="54" t="s">
        <v>22</v>
      </c>
      <c r="Q320" s="54" t="s">
        <v>45</v>
      </c>
      <c r="R320" s="165"/>
      <c r="S320" s="63" t="s">
        <v>0</v>
      </c>
      <c r="T320" s="1">
        <v>139.6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3"/>
        <v>139.6</v>
      </c>
      <c r="AB320" s="58">
        <v>2018</v>
      </c>
      <c r="AC320" s="9"/>
      <c r="AD320" s="101"/>
      <c r="AE320" s="101"/>
    </row>
    <row r="321" spans="1:31" ht="15.6" hidden="1" customHeight="1" x14ac:dyDescent="0.25">
      <c r="A321" s="54" t="s">
        <v>18</v>
      </c>
      <c r="B321" s="54" t="s">
        <v>18</v>
      </c>
      <c r="C321" s="54" t="s">
        <v>24</v>
      </c>
      <c r="D321" s="54" t="s">
        <v>18</v>
      </c>
      <c r="E321" s="54" t="s">
        <v>21</v>
      </c>
      <c r="F321" s="54" t="s">
        <v>18</v>
      </c>
      <c r="G321" s="54" t="s">
        <v>22</v>
      </c>
      <c r="H321" s="54" t="s">
        <v>19</v>
      </c>
      <c r="I321" s="54" t="s">
        <v>24</v>
      </c>
      <c r="J321" s="54" t="s">
        <v>18</v>
      </c>
      <c r="K321" s="54" t="s">
        <v>18</v>
      </c>
      <c r="L321" s="54" t="s">
        <v>20</v>
      </c>
      <c r="M321" s="54" t="s">
        <v>37</v>
      </c>
      <c r="N321" s="54" t="s">
        <v>18</v>
      </c>
      <c r="O321" s="54" t="s">
        <v>24</v>
      </c>
      <c r="P321" s="54" t="s">
        <v>22</v>
      </c>
      <c r="Q321" s="54" t="s">
        <v>46</v>
      </c>
      <c r="R321" s="165"/>
      <c r="S321" s="63" t="s">
        <v>0</v>
      </c>
      <c r="T321" s="1">
        <v>34.9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3"/>
        <v>34.9</v>
      </c>
      <c r="AB321" s="58">
        <v>2018</v>
      </c>
      <c r="AC321" s="9"/>
      <c r="AD321" s="101"/>
      <c r="AE321" s="101"/>
    </row>
    <row r="322" spans="1:31" ht="15.6" hidden="1" customHeight="1" x14ac:dyDescent="0.25">
      <c r="A322" s="54" t="s">
        <v>18</v>
      </c>
      <c r="B322" s="54" t="s">
        <v>18</v>
      </c>
      <c r="C322" s="54" t="s">
        <v>24</v>
      </c>
      <c r="D322" s="54" t="s">
        <v>18</v>
      </c>
      <c r="E322" s="54" t="s">
        <v>21</v>
      </c>
      <c r="F322" s="54" t="s">
        <v>18</v>
      </c>
      <c r="G322" s="54" t="s">
        <v>22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37</v>
      </c>
      <c r="N322" s="54" t="s">
        <v>18</v>
      </c>
      <c r="O322" s="54" t="s">
        <v>24</v>
      </c>
      <c r="P322" s="54" t="s">
        <v>22</v>
      </c>
      <c r="Q322" s="54" t="s">
        <v>39</v>
      </c>
      <c r="R322" s="165"/>
      <c r="S322" s="63" t="s">
        <v>0</v>
      </c>
      <c r="T322" s="1">
        <v>174.6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3"/>
        <v>174.6</v>
      </c>
      <c r="AB322" s="58">
        <v>2018</v>
      </c>
      <c r="AC322" s="9"/>
      <c r="AD322" s="101"/>
      <c r="AE322" s="101"/>
    </row>
    <row r="323" spans="1:31" ht="30.6" hidden="1" customHeight="1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80" t="s">
        <v>202</v>
      </c>
      <c r="S323" s="84" t="s">
        <v>168</v>
      </c>
      <c r="T323" s="3">
        <v>49.7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6">
        <f t="shared" si="93"/>
        <v>49.7</v>
      </c>
      <c r="AB323" s="41">
        <v>2018</v>
      </c>
      <c r="AC323" s="9"/>
      <c r="AD323" s="101"/>
      <c r="AE323" s="101"/>
    </row>
    <row r="324" spans="1:31" ht="15.6" hidden="1" customHeight="1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165" t="s">
        <v>203</v>
      </c>
      <c r="S324" s="63" t="s">
        <v>0</v>
      </c>
      <c r="T324" s="1">
        <f>SUM(T325:T327)</f>
        <v>508.5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9">
        <f t="shared" si="93"/>
        <v>508.5</v>
      </c>
      <c r="AB324" s="58">
        <v>2018</v>
      </c>
      <c r="AC324" s="9"/>
      <c r="AD324" s="101"/>
      <c r="AE324" s="101"/>
    </row>
    <row r="325" spans="1:31" ht="15.6" hidden="1" customHeight="1" x14ac:dyDescent="0.25">
      <c r="A325" s="54" t="s">
        <v>18</v>
      </c>
      <c r="B325" s="54" t="s">
        <v>18</v>
      </c>
      <c r="C325" s="54" t="s">
        <v>24</v>
      </c>
      <c r="D325" s="54" t="s">
        <v>18</v>
      </c>
      <c r="E325" s="54" t="s">
        <v>21</v>
      </c>
      <c r="F325" s="54" t="s">
        <v>18</v>
      </c>
      <c r="G325" s="54" t="s">
        <v>22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19</v>
      </c>
      <c r="N325" s="54" t="s">
        <v>18</v>
      </c>
      <c r="O325" s="54" t="s">
        <v>24</v>
      </c>
      <c r="P325" s="54" t="s">
        <v>22</v>
      </c>
      <c r="Q325" s="54" t="s">
        <v>45</v>
      </c>
      <c r="R325" s="165"/>
      <c r="S325" s="63" t="s">
        <v>0</v>
      </c>
      <c r="T325" s="1">
        <v>203.4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9">
        <f t="shared" si="93"/>
        <v>203.4</v>
      </c>
      <c r="AB325" s="58">
        <v>2018</v>
      </c>
      <c r="AC325" s="9"/>
      <c r="AD325" s="101"/>
      <c r="AE325" s="101"/>
    </row>
    <row r="326" spans="1:31" ht="15.6" hidden="1" customHeight="1" x14ac:dyDescent="0.25">
      <c r="A326" s="54" t="s">
        <v>18</v>
      </c>
      <c r="B326" s="54" t="s">
        <v>18</v>
      </c>
      <c r="C326" s="54" t="s">
        <v>24</v>
      </c>
      <c r="D326" s="54" t="s">
        <v>18</v>
      </c>
      <c r="E326" s="54" t="s">
        <v>21</v>
      </c>
      <c r="F326" s="54" t="s">
        <v>18</v>
      </c>
      <c r="G326" s="54" t="s">
        <v>22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18</v>
      </c>
      <c r="O326" s="54" t="s">
        <v>24</v>
      </c>
      <c r="P326" s="54" t="s">
        <v>22</v>
      </c>
      <c r="Q326" s="54" t="s">
        <v>46</v>
      </c>
      <c r="R326" s="165"/>
      <c r="S326" s="63" t="s">
        <v>0</v>
      </c>
      <c r="T326" s="1">
        <v>50.9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3"/>
        <v>50.9</v>
      </c>
      <c r="AB326" s="58">
        <v>2018</v>
      </c>
      <c r="AC326" s="9"/>
      <c r="AD326" s="101"/>
      <c r="AE326" s="101"/>
    </row>
    <row r="327" spans="1:31" ht="15.6" hidden="1" customHeight="1" x14ac:dyDescent="0.25">
      <c r="A327" s="54" t="s">
        <v>18</v>
      </c>
      <c r="B327" s="54" t="s">
        <v>18</v>
      </c>
      <c r="C327" s="54" t="s">
        <v>24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37</v>
      </c>
      <c r="N327" s="54" t="s">
        <v>18</v>
      </c>
      <c r="O327" s="54" t="s">
        <v>24</v>
      </c>
      <c r="P327" s="54" t="s">
        <v>22</v>
      </c>
      <c r="Q327" s="54" t="s">
        <v>39</v>
      </c>
      <c r="R327" s="165"/>
      <c r="S327" s="63" t="s">
        <v>0</v>
      </c>
      <c r="T327" s="1">
        <v>254.2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3"/>
        <v>254.2</v>
      </c>
      <c r="AB327" s="58">
        <v>2018</v>
      </c>
      <c r="AC327" s="9"/>
      <c r="AD327" s="101"/>
      <c r="AE327" s="101"/>
    </row>
    <row r="328" spans="1:31" ht="31.15" hidden="1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0" t="s">
        <v>204</v>
      </c>
      <c r="S328" s="84" t="s">
        <v>168</v>
      </c>
      <c r="T328" s="3">
        <v>88.3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6">
        <f t="shared" si="93"/>
        <v>88.3</v>
      </c>
      <c r="AB328" s="41">
        <v>2018</v>
      </c>
      <c r="AC328" s="9"/>
      <c r="AD328" s="101"/>
      <c r="AE328" s="101"/>
    </row>
    <row r="329" spans="1:31" ht="15.6" customHeight="1" x14ac:dyDescent="0.25">
      <c r="A329" s="54" t="s">
        <v>18</v>
      </c>
      <c r="B329" s="54" t="s">
        <v>18</v>
      </c>
      <c r="C329" s="54" t="s">
        <v>21</v>
      </c>
      <c r="D329" s="54" t="s">
        <v>18</v>
      </c>
      <c r="E329" s="54" t="s">
        <v>18</v>
      </c>
      <c r="F329" s="54" t="s">
        <v>18</v>
      </c>
      <c r="G329" s="54" t="s">
        <v>18</v>
      </c>
      <c r="H329" s="54" t="s">
        <v>19</v>
      </c>
      <c r="I329" s="54" t="s">
        <v>24</v>
      </c>
      <c r="J329" s="54" t="s">
        <v>18</v>
      </c>
      <c r="K329" s="54" t="s">
        <v>18</v>
      </c>
      <c r="L329" s="54" t="s">
        <v>20</v>
      </c>
      <c r="M329" s="54" t="s">
        <v>18</v>
      </c>
      <c r="N329" s="54" t="s">
        <v>18</v>
      </c>
      <c r="O329" s="54" t="s">
        <v>18</v>
      </c>
      <c r="P329" s="54" t="s">
        <v>18</v>
      </c>
      <c r="Q329" s="54" t="s">
        <v>18</v>
      </c>
      <c r="R329" s="159" t="s">
        <v>133</v>
      </c>
      <c r="S329" s="162" t="s">
        <v>0</v>
      </c>
      <c r="T329" s="59">
        <f>SUM(T330:T333)</f>
        <v>8990.0999999999985</v>
      </c>
      <c r="U329" s="59">
        <f>SUM(U330:U336)</f>
        <v>8489.7000000000007</v>
      </c>
      <c r="V329" s="59">
        <v>0</v>
      </c>
      <c r="W329" s="59">
        <f>SUM(W330:W340)</f>
        <v>6534.5</v>
      </c>
      <c r="X329" s="59">
        <f t="shared" ref="X329:Z329" si="94">SUM(X330:X340)</f>
        <v>2062.1</v>
      </c>
      <c r="Y329" s="59">
        <f t="shared" si="94"/>
        <v>0</v>
      </c>
      <c r="Z329" s="59">
        <f t="shared" si="94"/>
        <v>0</v>
      </c>
      <c r="AA329" s="59">
        <f>SUM(T329:Z329)</f>
        <v>26076.399999999998</v>
      </c>
      <c r="AB329" s="58">
        <v>2022</v>
      </c>
      <c r="AC329" s="124"/>
      <c r="AD329" s="101"/>
      <c r="AE329" s="101"/>
    </row>
    <row r="330" spans="1:31" x14ac:dyDescent="0.25">
      <c r="A330" s="54" t="s">
        <v>18</v>
      </c>
      <c r="B330" s="54" t="s">
        <v>18</v>
      </c>
      <c r="C330" s="54" t="s">
        <v>21</v>
      </c>
      <c r="D330" s="54" t="s">
        <v>18</v>
      </c>
      <c r="E330" s="54" t="s">
        <v>18</v>
      </c>
      <c r="F330" s="54" t="s">
        <v>18</v>
      </c>
      <c r="G330" s="54" t="s">
        <v>18</v>
      </c>
      <c r="H330" s="54" t="s">
        <v>19</v>
      </c>
      <c r="I330" s="54" t="s">
        <v>24</v>
      </c>
      <c r="J330" s="54" t="s">
        <v>18</v>
      </c>
      <c r="K330" s="54" t="s">
        <v>18</v>
      </c>
      <c r="L330" s="54" t="s">
        <v>20</v>
      </c>
      <c r="M330" s="54" t="s">
        <v>19</v>
      </c>
      <c r="N330" s="54" t="s">
        <v>18</v>
      </c>
      <c r="O330" s="54" t="s">
        <v>24</v>
      </c>
      <c r="P330" s="54" t="s">
        <v>22</v>
      </c>
      <c r="Q330" s="54" t="s">
        <v>45</v>
      </c>
      <c r="R330" s="160"/>
      <c r="S330" s="163"/>
      <c r="T330" s="1">
        <f>T344+T350+T357+T364+T371+T378+T385+T392+T399+T406+T412+T418</f>
        <v>3538.9999999999995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ref="AA330:AA340" si="95">SUM(T330:Z330)</f>
        <v>3538.9999999999995</v>
      </c>
      <c r="AB330" s="58">
        <v>2018</v>
      </c>
      <c r="AC330" s="124"/>
      <c r="AD330" s="101"/>
      <c r="AE330" s="101"/>
    </row>
    <row r="331" spans="1:31" x14ac:dyDescent="0.25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18</v>
      </c>
      <c r="F331" s="54" t="s">
        <v>18</v>
      </c>
      <c r="G331" s="54" t="s">
        <v>18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43</v>
      </c>
      <c r="P331" s="54" t="s">
        <v>22</v>
      </c>
      <c r="Q331" s="54" t="s">
        <v>170</v>
      </c>
      <c r="R331" s="160"/>
      <c r="S331" s="163"/>
      <c r="T331" s="1">
        <v>339.9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5"/>
        <v>339.9</v>
      </c>
      <c r="AB331" s="58">
        <v>2018</v>
      </c>
      <c r="AC331" s="124"/>
      <c r="AD331" s="101"/>
      <c r="AE331" s="101"/>
    </row>
    <row r="332" spans="1:31" x14ac:dyDescent="0.25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18</v>
      </c>
      <c r="F332" s="54" t="s">
        <v>18</v>
      </c>
      <c r="G332" s="54" t="s">
        <v>18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60"/>
      <c r="S332" s="163"/>
      <c r="T332" s="1">
        <f>T345+T346+T352+T353+T359+T360+T366+T367+T373+T374+T380+T381+T387+T388+T394+T395+T401+T402+T408+T414+T421+T420</f>
        <v>1913.5</v>
      </c>
      <c r="U332" s="1">
        <v>1308.8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5"/>
        <v>3222.3</v>
      </c>
      <c r="AB332" s="58">
        <v>2019</v>
      </c>
      <c r="AC332" s="124"/>
      <c r="AD332" s="101"/>
      <c r="AE332" s="101"/>
    </row>
    <row r="333" spans="1:31" x14ac:dyDescent="0.25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18</v>
      </c>
      <c r="F333" s="54" t="s">
        <v>18</v>
      </c>
      <c r="G333" s="54" t="s">
        <v>18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39</v>
      </c>
      <c r="R333" s="160"/>
      <c r="S333" s="163"/>
      <c r="T333" s="1">
        <v>3197.7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5"/>
        <v>3197.7</v>
      </c>
      <c r="AB333" s="58">
        <v>2018</v>
      </c>
      <c r="AC333" s="124"/>
      <c r="AD333" s="101"/>
      <c r="AE333" s="101"/>
    </row>
    <row r="334" spans="1:31" x14ac:dyDescent="0.25">
      <c r="A334" s="54" t="s">
        <v>18</v>
      </c>
      <c r="B334" s="54" t="s">
        <v>18</v>
      </c>
      <c r="C334" s="54" t="s">
        <v>21</v>
      </c>
      <c r="D334" s="54" t="s">
        <v>18</v>
      </c>
      <c r="E334" s="54" t="s">
        <v>18</v>
      </c>
      <c r="F334" s="54" t="s">
        <v>18</v>
      </c>
      <c r="G334" s="54" t="s">
        <v>18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19</v>
      </c>
      <c r="N334" s="54" t="s">
        <v>18</v>
      </c>
      <c r="O334" s="54" t="s">
        <v>24</v>
      </c>
      <c r="P334" s="54" t="s">
        <v>22</v>
      </c>
      <c r="Q334" s="54" t="s">
        <v>18</v>
      </c>
      <c r="R334" s="160"/>
      <c r="S334" s="163"/>
      <c r="T334" s="1">
        <v>0</v>
      </c>
      <c r="U334" s="1">
        <f>4114.8-123.3</f>
        <v>3991.5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95"/>
        <v>3991.5</v>
      </c>
      <c r="AB334" s="58">
        <v>2019</v>
      </c>
      <c r="AC334" s="124"/>
      <c r="AD334" s="101"/>
      <c r="AE334" s="101"/>
    </row>
    <row r="335" spans="1:31" x14ac:dyDescent="0.25">
      <c r="A335" s="54" t="s">
        <v>18</v>
      </c>
      <c r="B335" s="54" t="s">
        <v>18</v>
      </c>
      <c r="C335" s="54" t="s">
        <v>21</v>
      </c>
      <c r="D335" s="54" t="s">
        <v>18</v>
      </c>
      <c r="E335" s="54" t="s">
        <v>18</v>
      </c>
      <c r="F335" s="54" t="s">
        <v>18</v>
      </c>
      <c r="G335" s="54" t="s">
        <v>18</v>
      </c>
      <c r="H335" s="54" t="s">
        <v>19</v>
      </c>
      <c r="I335" s="54" t="s">
        <v>24</v>
      </c>
      <c r="J335" s="54" t="s">
        <v>18</v>
      </c>
      <c r="K335" s="54" t="s">
        <v>18</v>
      </c>
      <c r="L335" s="54" t="s">
        <v>20</v>
      </c>
      <c r="M335" s="54" t="s">
        <v>37</v>
      </c>
      <c r="N335" s="54" t="s">
        <v>18</v>
      </c>
      <c r="O335" s="54" t="s">
        <v>24</v>
      </c>
      <c r="P335" s="54" t="s">
        <v>22</v>
      </c>
      <c r="Q335" s="54" t="s">
        <v>18</v>
      </c>
      <c r="R335" s="160"/>
      <c r="S335" s="163"/>
      <c r="T335" s="1">
        <v>0</v>
      </c>
      <c r="U335" s="1">
        <f>3035.2-53.3</f>
        <v>2981.8999999999996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59">
        <f t="shared" si="95"/>
        <v>2981.8999999999996</v>
      </c>
      <c r="AB335" s="58">
        <v>2019</v>
      </c>
      <c r="AC335" s="124"/>
      <c r="AD335" s="101"/>
      <c r="AE335" s="101"/>
    </row>
    <row r="336" spans="1:31" x14ac:dyDescent="0.25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18</v>
      </c>
      <c r="F336" s="54" t="s">
        <v>18</v>
      </c>
      <c r="G336" s="54" t="s">
        <v>18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19</v>
      </c>
      <c r="N336" s="54" t="s">
        <v>18</v>
      </c>
      <c r="O336" s="54" t="s">
        <v>43</v>
      </c>
      <c r="P336" s="54" t="s">
        <v>22</v>
      </c>
      <c r="Q336" s="54" t="s">
        <v>18</v>
      </c>
      <c r="R336" s="160"/>
      <c r="S336" s="163"/>
      <c r="T336" s="1">
        <v>0</v>
      </c>
      <c r="U336" s="1">
        <f>215-7.5</f>
        <v>207.5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95"/>
        <v>207.5</v>
      </c>
      <c r="AB336" s="58">
        <v>2019</v>
      </c>
      <c r="AC336" s="124"/>
      <c r="AD336" s="101"/>
      <c r="AE336" s="101"/>
    </row>
    <row r="337" spans="1:3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18</v>
      </c>
      <c r="F337" s="54" t="s">
        <v>18</v>
      </c>
      <c r="G337" s="54" t="s">
        <v>18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37</v>
      </c>
      <c r="N337" s="54" t="s">
        <v>43</v>
      </c>
      <c r="O337" s="54" t="s">
        <v>18</v>
      </c>
      <c r="P337" s="54" t="s">
        <v>18</v>
      </c>
      <c r="Q337" s="54" t="s">
        <v>18</v>
      </c>
      <c r="R337" s="160"/>
      <c r="S337" s="163"/>
      <c r="T337" s="1">
        <v>0</v>
      </c>
      <c r="U337" s="1">
        <v>0</v>
      </c>
      <c r="V337" s="1">
        <v>0</v>
      </c>
      <c r="W337" s="1">
        <f>1891+153</f>
        <v>2044</v>
      </c>
      <c r="X337" s="1">
        <f>987.7+37</f>
        <v>1024.7</v>
      </c>
      <c r="Y337" s="1">
        <v>0</v>
      </c>
      <c r="Z337" s="1">
        <v>0</v>
      </c>
      <c r="AA337" s="59">
        <f t="shared" si="95"/>
        <v>3068.7</v>
      </c>
      <c r="AB337" s="58">
        <v>2022</v>
      </c>
      <c r="AC337" s="124"/>
      <c r="AD337" s="101"/>
      <c r="AE337" s="101"/>
    </row>
    <row r="338" spans="1:3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18</v>
      </c>
      <c r="F338" s="54" t="s">
        <v>18</v>
      </c>
      <c r="G338" s="54" t="s">
        <v>18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43</v>
      </c>
      <c r="O338" s="54" t="s">
        <v>18</v>
      </c>
      <c r="P338" s="54" t="s">
        <v>18</v>
      </c>
      <c r="Q338" s="54" t="s">
        <v>18</v>
      </c>
      <c r="R338" s="160"/>
      <c r="S338" s="163"/>
      <c r="T338" s="1">
        <v>0</v>
      </c>
      <c r="U338" s="1">
        <v>0</v>
      </c>
      <c r="V338" s="1">
        <v>0</v>
      </c>
      <c r="W338" s="1">
        <v>3135.4</v>
      </c>
      <c r="X338" s="1">
        <v>600</v>
      </c>
      <c r="Y338" s="1">
        <v>0</v>
      </c>
      <c r="Z338" s="1">
        <v>0</v>
      </c>
      <c r="AA338" s="59">
        <f t="shared" si="95"/>
        <v>3735.4</v>
      </c>
      <c r="AB338" s="58">
        <v>2022</v>
      </c>
      <c r="AC338" s="124"/>
      <c r="AD338" s="101"/>
      <c r="AE338" s="101"/>
    </row>
    <row r="339" spans="1:3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18</v>
      </c>
      <c r="F339" s="54" t="s">
        <v>18</v>
      </c>
      <c r="G339" s="54" t="s">
        <v>18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43</v>
      </c>
      <c r="O339" s="54" t="s">
        <v>46</v>
      </c>
      <c r="P339" s="54" t="s">
        <v>18</v>
      </c>
      <c r="Q339" s="54" t="s">
        <v>18</v>
      </c>
      <c r="R339" s="160"/>
      <c r="S339" s="163"/>
      <c r="T339" s="1">
        <v>0</v>
      </c>
      <c r="U339" s="1">
        <v>0</v>
      </c>
      <c r="V339" s="1">
        <v>0</v>
      </c>
      <c r="W339" s="1">
        <v>1195.0999999999999</v>
      </c>
      <c r="X339" s="1">
        <v>437.4</v>
      </c>
      <c r="Y339" s="1">
        <v>0</v>
      </c>
      <c r="Z339" s="1">
        <v>0</v>
      </c>
      <c r="AA339" s="59">
        <f t="shared" si="95"/>
        <v>1632.5</v>
      </c>
      <c r="AB339" s="58">
        <v>2022</v>
      </c>
      <c r="AC339" s="124"/>
      <c r="AD339" s="101"/>
      <c r="AE339" s="101"/>
    </row>
    <row r="340" spans="1:3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18</v>
      </c>
      <c r="F340" s="54" t="s">
        <v>18</v>
      </c>
      <c r="G340" s="54" t="s">
        <v>18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19</v>
      </c>
      <c r="N340" s="54" t="s">
        <v>43</v>
      </c>
      <c r="O340" s="54" t="s">
        <v>22</v>
      </c>
      <c r="P340" s="54" t="s">
        <v>18</v>
      </c>
      <c r="Q340" s="54" t="s">
        <v>18</v>
      </c>
      <c r="R340" s="161"/>
      <c r="S340" s="164"/>
      <c r="T340" s="1">
        <v>0</v>
      </c>
      <c r="U340" s="1">
        <v>0</v>
      </c>
      <c r="V340" s="1">
        <v>0</v>
      </c>
      <c r="W340" s="1">
        <v>160</v>
      </c>
      <c r="X340" s="1">
        <v>0</v>
      </c>
      <c r="Y340" s="1">
        <v>0</v>
      </c>
      <c r="Z340" s="1">
        <v>0</v>
      </c>
      <c r="AA340" s="59">
        <f t="shared" si="95"/>
        <v>160</v>
      </c>
      <c r="AB340" s="58">
        <v>2021</v>
      </c>
      <c r="AC340" s="124"/>
      <c r="AD340" s="101"/>
      <c r="AE340" s="101"/>
    </row>
    <row r="341" spans="1:31" ht="47.25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80" t="s">
        <v>303</v>
      </c>
      <c r="S341" s="62" t="s">
        <v>52</v>
      </c>
      <c r="T341" s="3">
        <v>2.7</v>
      </c>
      <c r="U341" s="3">
        <v>1</v>
      </c>
      <c r="V341" s="3">
        <v>0</v>
      </c>
      <c r="W341" s="3">
        <v>2.2000000000000002</v>
      </c>
      <c r="X341" s="3">
        <v>1.9</v>
      </c>
      <c r="Y341" s="3">
        <v>0</v>
      </c>
      <c r="Z341" s="3">
        <v>0</v>
      </c>
      <c r="AA341" s="6">
        <f t="shared" si="93"/>
        <v>7.8000000000000007</v>
      </c>
      <c r="AB341" s="41">
        <v>2022</v>
      </c>
      <c r="AC341" s="9"/>
      <c r="AD341" s="101"/>
      <c r="AE341" s="101"/>
    </row>
    <row r="342" spans="1:31" ht="49.15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0" t="s">
        <v>304</v>
      </c>
      <c r="S342" s="84" t="s">
        <v>50</v>
      </c>
      <c r="T342" s="44">
        <v>11</v>
      </c>
      <c r="U342" s="44">
        <v>6</v>
      </c>
      <c r="V342" s="44">
        <v>0</v>
      </c>
      <c r="W342" s="44">
        <v>4</v>
      </c>
      <c r="X342" s="44">
        <v>1</v>
      </c>
      <c r="Y342" s="44">
        <v>0</v>
      </c>
      <c r="Z342" s="44">
        <v>0</v>
      </c>
      <c r="AA342" s="49">
        <f t="shared" si="93"/>
        <v>22</v>
      </c>
      <c r="AB342" s="41">
        <v>2022</v>
      </c>
      <c r="AC342" s="9"/>
      <c r="AD342" s="101"/>
      <c r="AE342" s="101"/>
    </row>
    <row r="343" spans="1:31" ht="15.6" hidden="1" customHeight="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165" t="s">
        <v>205</v>
      </c>
      <c r="S343" s="63" t="s">
        <v>0</v>
      </c>
      <c r="T343" s="1">
        <f>SUM(T344:T347)</f>
        <v>1027.7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90"/>
        <v>1027.7</v>
      </c>
      <c r="AB343" s="58">
        <v>2018</v>
      </c>
      <c r="AC343" s="9"/>
      <c r="AD343" s="101"/>
      <c r="AE343" s="101"/>
    </row>
    <row r="344" spans="1:31" ht="15.6" hidden="1" customHeight="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21</v>
      </c>
      <c r="F344" s="54" t="s">
        <v>18</v>
      </c>
      <c r="G344" s="54" t="s">
        <v>22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24</v>
      </c>
      <c r="P344" s="54" t="s">
        <v>22</v>
      </c>
      <c r="Q344" s="54" t="s">
        <v>45</v>
      </c>
      <c r="R344" s="165"/>
      <c r="S344" s="63" t="s">
        <v>0</v>
      </c>
      <c r="T344" s="1">
        <v>400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90"/>
        <v>400</v>
      </c>
      <c r="AB344" s="58">
        <v>2018</v>
      </c>
      <c r="AC344" s="9"/>
      <c r="AD344" s="101"/>
      <c r="AE344" s="101"/>
    </row>
    <row r="345" spans="1:31" ht="15.6" hidden="1" customHeight="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21</v>
      </c>
      <c r="F345" s="54" t="s">
        <v>18</v>
      </c>
      <c r="G345" s="54" t="s">
        <v>22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37</v>
      </c>
      <c r="N345" s="54" t="s">
        <v>18</v>
      </c>
      <c r="O345" s="54" t="s">
        <v>24</v>
      </c>
      <c r="P345" s="54" t="s">
        <v>22</v>
      </c>
      <c r="Q345" s="54" t="s">
        <v>46</v>
      </c>
      <c r="R345" s="165"/>
      <c r="S345" s="63" t="s">
        <v>0</v>
      </c>
      <c r="T345" s="1">
        <v>14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90"/>
        <v>14</v>
      </c>
      <c r="AB345" s="58">
        <v>2018</v>
      </c>
      <c r="AC345" s="9"/>
      <c r="AD345" s="101"/>
      <c r="AE345" s="101"/>
    </row>
    <row r="346" spans="1:31" ht="15.6" hidden="1" customHeight="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21</v>
      </c>
      <c r="F346" s="54" t="s">
        <v>18</v>
      </c>
      <c r="G346" s="54" t="s">
        <v>22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65"/>
      <c r="S346" s="63" t="s">
        <v>0</v>
      </c>
      <c r="T346" s="1">
        <v>157.4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90"/>
        <v>157.4</v>
      </c>
      <c r="AB346" s="58">
        <v>2018</v>
      </c>
      <c r="AC346" s="9"/>
      <c r="AD346" s="101"/>
      <c r="AE346" s="101"/>
    </row>
    <row r="347" spans="1:31" ht="15.6" hidden="1" customHeight="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21</v>
      </c>
      <c r="F347" s="54" t="s">
        <v>18</v>
      </c>
      <c r="G347" s="54" t="s">
        <v>22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39</v>
      </c>
      <c r="R347" s="165"/>
      <c r="S347" s="63" t="s">
        <v>0</v>
      </c>
      <c r="T347" s="1">
        <v>456.3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90"/>
        <v>456.3</v>
      </c>
      <c r="AB347" s="58">
        <v>2018</v>
      </c>
      <c r="AC347" s="9"/>
      <c r="AD347" s="101"/>
      <c r="AE347" s="101"/>
    </row>
    <row r="348" spans="1:31" ht="51" hidden="1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80" t="s">
        <v>206</v>
      </c>
      <c r="S348" s="84" t="s">
        <v>167</v>
      </c>
      <c r="T348" s="3">
        <v>754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6">
        <f t="shared" si="90"/>
        <v>754</v>
      </c>
      <c r="AB348" s="41">
        <v>2018</v>
      </c>
      <c r="AC348" s="9"/>
      <c r="AD348" s="101"/>
      <c r="AE348" s="101"/>
    </row>
    <row r="349" spans="1:31" ht="16.149999999999999" hidden="1" customHeight="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165" t="s">
        <v>207</v>
      </c>
      <c r="S349" s="63" t="s">
        <v>0</v>
      </c>
      <c r="T349" s="1">
        <f>SUM(T350:T354)</f>
        <v>244.8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9">
        <f t="shared" si="90"/>
        <v>244.8</v>
      </c>
      <c r="AB349" s="58">
        <v>2018</v>
      </c>
      <c r="AC349" s="9"/>
      <c r="AD349" s="101"/>
      <c r="AE349" s="101"/>
    </row>
    <row r="350" spans="1:31" ht="16.149999999999999" hidden="1" customHeight="1" x14ac:dyDescent="0.25">
      <c r="A350" s="54" t="s">
        <v>18</v>
      </c>
      <c r="B350" s="54" t="s">
        <v>18</v>
      </c>
      <c r="C350" s="54" t="s">
        <v>21</v>
      </c>
      <c r="D350" s="54" t="s">
        <v>18</v>
      </c>
      <c r="E350" s="54" t="s">
        <v>21</v>
      </c>
      <c r="F350" s="54" t="s">
        <v>18</v>
      </c>
      <c r="G350" s="54" t="s">
        <v>22</v>
      </c>
      <c r="H350" s="54" t="s">
        <v>19</v>
      </c>
      <c r="I350" s="54" t="s">
        <v>24</v>
      </c>
      <c r="J350" s="54" t="s">
        <v>18</v>
      </c>
      <c r="K350" s="54" t="s">
        <v>18</v>
      </c>
      <c r="L350" s="54" t="s">
        <v>20</v>
      </c>
      <c r="M350" s="54" t="s">
        <v>19</v>
      </c>
      <c r="N350" s="54" t="s">
        <v>18</v>
      </c>
      <c r="O350" s="54" t="s">
        <v>24</v>
      </c>
      <c r="P350" s="54" t="s">
        <v>22</v>
      </c>
      <c r="Q350" s="54" t="s">
        <v>45</v>
      </c>
      <c r="R350" s="165"/>
      <c r="S350" s="63" t="s">
        <v>0</v>
      </c>
      <c r="T350" s="1">
        <v>97.9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0"/>
        <v>97.9</v>
      </c>
      <c r="AB350" s="58">
        <v>2018</v>
      </c>
      <c r="AC350" s="9"/>
      <c r="AD350" s="101"/>
      <c r="AE350" s="101"/>
    </row>
    <row r="351" spans="1:31" ht="16.149999999999999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43</v>
      </c>
      <c r="P351" s="54" t="s">
        <v>22</v>
      </c>
      <c r="Q351" s="54" t="s">
        <v>170</v>
      </c>
      <c r="R351" s="165"/>
      <c r="S351" s="63" t="s">
        <v>0</v>
      </c>
      <c r="T351" s="1">
        <v>15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0"/>
        <v>15</v>
      </c>
      <c r="AB351" s="58">
        <v>2018</v>
      </c>
      <c r="AC351" s="9"/>
      <c r="AD351" s="101"/>
      <c r="AE351" s="101"/>
    </row>
    <row r="352" spans="1:31" ht="16.149999999999999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37</v>
      </c>
      <c r="N352" s="54" t="s">
        <v>18</v>
      </c>
      <c r="O352" s="54" t="s">
        <v>24</v>
      </c>
      <c r="P352" s="54" t="s">
        <v>22</v>
      </c>
      <c r="Q352" s="54" t="s">
        <v>46</v>
      </c>
      <c r="R352" s="165"/>
      <c r="S352" s="63" t="s">
        <v>0</v>
      </c>
      <c r="T352" s="1">
        <v>4.9000000000000004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 t="shared" si="90"/>
        <v>4.9000000000000004</v>
      </c>
      <c r="AB352" s="58">
        <v>2018</v>
      </c>
      <c r="AC352" s="9"/>
      <c r="AD352" s="101"/>
      <c r="AE352" s="101"/>
    </row>
    <row r="353" spans="1:31" ht="16.149999999999999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65"/>
      <c r="S353" s="63" t="s">
        <v>0</v>
      </c>
      <c r="T353" s="1">
        <v>36.700000000000003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0"/>
        <v>36.700000000000003</v>
      </c>
      <c r="AB353" s="58">
        <v>2018</v>
      </c>
      <c r="AC353" s="9"/>
      <c r="AD353" s="101"/>
      <c r="AE353" s="101"/>
    </row>
    <row r="354" spans="1:31" ht="16.149999999999999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39</v>
      </c>
      <c r="R354" s="165"/>
      <c r="S354" s="63" t="s">
        <v>0</v>
      </c>
      <c r="T354" s="1">
        <v>90.3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90"/>
        <v>90.3</v>
      </c>
      <c r="AB354" s="58">
        <v>2018</v>
      </c>
      <c r="AC354" s="9"/>
      <c r="AD354" s="101"/>
      <c r="AE354" s="101"/>
    </row>
    <row r="355" spans="1:31" ht="52.15" hidden="1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80" t="s">
        <v>208</v>
      </c>
      <c r="S355" s="84" t="s">
        <v>50</v>
      </c>
      <c r="T355" s="44">
        <v>10</v>
      </c>
      <c r="U355" s="44">
        <v>0</v>
      </c>
      <c r="V355" s="44">
        <v>0</v>
      </c>
      <c r="W355" s="44">
        <v>0</v>
      </c>
      <c r="X355" s="44">
        <v>0</v>
      </c>
      <c r="Y355" s="44">
        <v>0</v>
      </c>
      <c r="Z355" s="44">
        <v>0</v>
      </c>
      <c r="AA355" s="49">
        <f t="shared" si="90"/>
        <v>10</v>
      </c>
      <c r="AB355" s="41">
        <v>2018</v>
      </c>
      <c r="AC355" s="9"/>
      <c r="AD355" s="101"/>
      <c r="AE355" s="101"/>
    </row>
    <row r="356" spans="1:31" ht="16.350000000000001" hidden="1" customHeight="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165" t="s">
        <v>209</v>
      </c>
      <c r="S356" s="63" t="s">
        <v>0</v>
      </c>
      <c r="T356" s="1">
        <f>SUM(T357:T361)</f>
        <v>686.4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ref="AA356:AA423" si="96">SUM(T356:Y356)</f>
        <v>686.4</v>
      </c>
      <c r="AB356" s="58">
        <v>2018</v>
      </c>
      <c r="AC356" s="9"/>
      <c r="AD356" s="101"/>
      <c r="AE356" s="101"/>
    </row>
    <row r="357" spans="1:31" ht="16.350000000000001" hidden="1" customHeight="1" x14ac:dyDescent="0.25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24</v>
      </c>
      <c r="F357" s="54" t="s">
        <v>18</v>
      </c>
      <c r="G357" s="54" t="s">
        <v>43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19</v>
      </c>
      <c r="N357" s="54" t="s">
        <v>18</v>
      </c>
      <c r="O357" s="54" t="s">
        <v>24</v>
      </c>
      <c r="P357" s="54" t="s">
        <v>22</v>
      </c>
      <c r="Q357" s="54" t="s">
        <v>45</v>
      </c>
      <c r="R357" s="165"/>
      <c r="S357" s="63" t="s">
        <v>0</v>
      </c>
      <c r="T357" s="1">
        <v>272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6"/>
        <v>272</v>
      </c>
      <c r="AB357" s="58">
        <v>2018</v>
      </c>
      <c r="AC357" s="9"/>
      <c r="AD357" s="101"/>
      <c r="AE357" s="101"/>
    </row>
    <row r="358" spans="1:31" ht="16.350000000000001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24</v>
      </c>
      <c r="F358" s="54" t="s">
        <v>18</v>
      </c>
      <c r="G358" s="54" t="s">
        <v>43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43</v>
      </c>
      <c r="P358" s="54" t="s">
        <v>22</v>
      </c>
      <c r="Q358" s="54" t="s">
        <v>170</v>
      </c>
      <c r="R358" s="165"/>
      <c r="S358" s="63" t="s">
        <v>0</v>
      </c>
      <c r="T358" s="1">
        <v>30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6"/>
        <v>30</v>
      </c>
      <c r="AB358" s="58">
        <v>2018</v>
      </c>
      <c r="AC358" s="9"/>
      <c r="AD358" s="101"/>
      <c r="AE358" s="101"/>
    </row>
    <row r="359" spans="1:31" ht="16.350000000000001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24</v>
      </c>
      <c r="F359" s="54" t="s">
        <v>18</v>
      </c>
      <c r="G359" s="54" t="s">
        <v>43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37</v>
      </c>
      <c r="N359" s="54" t="s">
        <v>18</v>
      </c>
      <c r="O359" s="54" t="s">
        <v>24</v>
      </c>
      <c r="P359" s="54" t="s">
        <v>22</v>
      </c>
      <c r="Q359" s="54" t="s">
        <v>46</v>
      </c>
      <c r="R359" s="165"/>
      <c r="S359" s="63" t="s">
        <v>0</v>
      </c>
      <c r="T359" s="1">
        <v>47.3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6"/>
        <v>47.3</v>
      </c>
      <c r="AB359" s="58">
        <v>2018</v>
      </c>
      <c r="AC359" s="9"/>
      <c r="AD359" s="101"/>
      <c r="AE359" s="101"/>
    </row>
    <row r="360" spans="1:31" ht="16.350000000000001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24</v>
      </c>
      <c r="F360" s="54" t="s">
        <v>18</v>
      </c>
      <c r="G360" s="54" t="s">
        <v>43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65"/>
      <c r="S360" s="63" t="s">
        <v>0</v>
      </c>
      <c r="T360" s="1">
        <v>68.599999999999994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6"/>
        <v>68.599999999999994</v>
      </c>
      <c r="AB360" s="58">
        <v>2018</v>
      </c>
      <c r="AC360" s="9"/>
      <c r="AD360" s="101"/>
      <c r="AE360" s="101"/>
    </row>
    <row r="361" spans="1:31" ht="16.350000000000001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24</v>
      </c>
      <c r="F361" s="54" t="s">
        <v>18</v>
      </c>
      <c r="G361" s="54" t="s">
        <v>43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39</v>
      </c>
      <c r="R361" s="165"/>
      <c r="S361" s="63" t="s">
        <v>0</v>
      </c>
      <c r="T361" s="1">
        <v>268.5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96"/>
        <v>268.5</v>
      </c>
      <c r="AB361" s="58">
        <v>2018</v>
      </c>
      <c r="AC361" s="9"/>
      <c r="AD361" s="101"/>
      <c r="AE361" s="101"/>
    </row>
    <row r="362" spans="1:31" ht="53.45" hidden="1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78" t="s">
        <v>210</v>
      </c>
      <c r="S362" s="84" t="s">
        <v>167</v>
      </c>
      <c r="T362" s="3">
        <v>285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6">
        <f t="shared" si="96"/>
        <v>285</v>
      </c>
      <c r="AB362" s="41">
        <v>2018</v>
      </c>
      <c r="AC362" s="9"/>
      <c r="AD362" s="101"/>
      <c r="AE362" s="101"/>
    </row>
    <row r="363" spans="1:31" ht="16.350000000000001" hidden="1" customHeight="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165" t="s">
        <v>211</v>
      </c>
      <c r="S363" s="63" t="s">
        <v>0</v>
      </c>
      <c r="T363" s="1">
        <f>SUM(T364:T368)</f>
        <v>657.90000000000009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si="96"/>
        <v>657.90000000000009</v>
      </c>
      <c r="AB363" s="58">
        <v>2018</v>
      </c>
      <c r="AC363" s="9"/>
      <c r="AD363" s="101"/>
      <c r="AE363" s="101"/>
    </row>
    <row r="364" spans="1:31" ht="16.350000000000001" hidden="1" customHeight="1" x14ac:dyDescent="0.25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21</v>
      </c>
      <c r="F364" s="54" t="s">
        <v>18</v>
      </c>
      <c r="G364" s="54" t="s">
        <v>22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19</v>
      </c>
      <c r="N364" s="54" t="s">
        <v>18</v>
      </c>
      <c r="O364" s="54" t="s">
        <v>24</v>
      </c>
      <c r="P364" s="54" t="s">
        <v>22</v>
      </c>
      <c r="Q364" s="54" t="s">
        <v>45</v>
      </c>
      <c r="R364" s="165"/>
      <c r="S364" s="63" t="s">
        <v>0</v>
      </c>
      <c r="T364" s="1">
        <v>263.10000000000002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96"/>
        <v>263.10000000000002</v>
      </c>
      <c r="AB364" s="58">
        <v>2018</v>
      </c>
      <c r="AC364" s="9"/>
      <c r="AD364" s="101"/>
      <c r="AE364" s="101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21</v>
      </c>
      <c r="F365" s="54" t="s">
        <v>18</v>
      </c>
      <c r="G365" s="54" t="s">
        <v>22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43</v>
      </c>
      <c r="P365" s="54" t="s">
        <v>22</v>
      </c>
      <c r="Q365" s="54" t="s">
        <v>170</v>
      </c>
      <c r="R365" s="165"/>
      <c r="S365" s="63" t="s">
        <v>0</v>
      </c>
      <c r="T365" s="1">
        <v>40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>SUM(T365:Y365)</f>
        <v>40</v>
      </c>
      <c r="AB365" s="58">
        <v>2018</v>
      </c>
      <c r="AC365" s="9"/>
      <c r="AD365" s="101"/>
      <c r="AE365" s="101"/>
    </row>
    <row r="366" spans="1:31" ht="16.350000000000001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21</v>
      </c>
      <c r="F366" s="54" t="s">
        <v>18</v>
      </c>
      <c r="G366" s="54" t="s">
        <v>22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37</v>
      </c>
      <c r="N366" s="54" t="s">
        <v>18</v>
      </c>
      <c r="O366" s="54" t="s">
        <v>24</v>
      </c>
      <c r="P366" s="54" t="s">
        <v>22</v>
      </c>
      <c r="Q366" s="54" t="s">
        <v>46</v>
      </c>
      <c r="R366" s="165"/>
      <c r="S366" s="63" t="s">
        <v>0</v>
      </c>
      <c r="T366" s="1">
        <v>5.7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 t="shared" si="96"/>
        <v>5.7</v>
      </c>
      <c r="AB366" s="58">
        <v>2018</v>
      </c>
      <c r="AC366" s="9"/>
      <c r="AD366" s="101"/>
      <c r="AE366" s="101"/>
    </row>
    <row r="367" spans="1:31" ht="16.350000000000001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21</v>
      </c>
      <c r="F367" s="54" t="s">
        <v>18</v>
      </c>
      <c r="G367" s="54" t="s">
        <v>22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65"/>
      <c r="S367" s="63" t="s">
        <v>0</v>
      </c>
      <c r="T367" s="1">
        <v>98.8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96"/>
        <v>98.8</v>
      </c>
      <c r="AB367" s="58">
        <v>2018</v>
      </c>
      <c r="AC367" s="9"/>
      <c r="AD367" s="101"/>
      <c r="AE367" s="101"/>
    </row>
    <row r="368" spans="1:31" ht="16.350000000000001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21</v>
      </c>
      <c r="F368" s="54" t="s">
        <v>18</v>
      </c>
      <c r="G368" s="54" t="s">
        <v>22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39</v>
      </c>
      <c r="R368" s="165"/>
      <c r="S368" s="63" t="s">
        <v>0</v>
      </c>
      <c r="T368" s="1">
        <v>250.3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96"/>
        <v>250.3</v>
      </c>
      <c r="AB368" s="58">
        <v>2018</v>
      </c>
      <c r="AC368" s="9"/>
      <c r="AD368" s="101"/>
      <c r="AE368" s="101"/>
    </row>
    <row r="369" spans="1:31" ht="37.15" hidden="1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80" t="s">
        <v>212</v>
      </c>
      <c r="S369" s="84" t="s">
        <v>167</v>
      </c>
      <c r="T369" s="3">
        <v>443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96"/>
        <v>443</v>
      </c>
      <c r="AB369" s="41">
        <v>2018</v>
      </c>
      <c r="AC369" s="9"/>
      <c r="AD369" s="101"/>
      <c r="AE369" s="101"/>
    </row>
    <row r="370" spans="1:31" ht="18.600000000000001" hidden="1" customHeight="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165" t="s">
        <v>213</v>
      </c>
      <c r="S370" s="63" t="s">
        <v>0</v>
      </c>
      <c r="T370" s="1">
        <f>SUM(T371:T375)</f>
        <v>1100.4000000000001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96"/>
        <v>1100.4000000000001</v>
      </c>
      <c r="AB370" s="58">
        <v>2018</v>
      </c>
      <c r="AC370" s="9"/>
      <c r="AD370" s="101"/>
      <c r="AE370" s="101"/>
    </row>
    <row r="371" spans="1:31" ht="16.350000000000001" hidden="1" customHeight="1" x14ac:dyDescent="0.25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19</v>
      </c>
      <c r="N371" s="54" t="s">
        <v>18</v>
      </c>
      <c r="O371" s="54" t="s">
        <v>24</v>
      </c>
      <c r="P371" s="54" t="s">
        <v>22</v>
      </c>
      <c r="Q371" s="54" t="s">
        <v>45</v>
      </c>
      <c r="R371" s="165"/>
      <c r="S371" s="63" t="s">
        <v>0</v>
      </c>
      <c r="T371" s="1">
        <v>400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96"/>
        <v>400</v>
      </c>
      <c r="AB371" s="58">
        <v>2018</v>
      </c>
      <c r="AC371" s="9"/>
      <c r="AD371" s="101"/>
      <c r="AE371" s="101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43</v>
      </c>
      <c r="P372" s="54" t="s">
        <v>22</v>
      </c>
      <c r="Q372" s="54" t="s">
        <v>170</v>
      </c>
      <c r="R372" s="165"/>
      <c r="S372" s="63" t="s">
        <v>0</v>
      </c>
      <c r="T372" s="1">
        <v>40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96"/>
        <v>40</v>
      </c>
      <c r="AB372" s="58">
        <v>2018</v>
      </c>
      <c r="AC372" s="9"/>
      <c r="AD372" s="101"/>
      <c r="AE372" s="101"/>
    </row>
    <row r="373" spans="1:31" ht="16.350000000000001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37</v>
      </c>
      <c r="N373" s="54" t="s">
        <v>18</v>
      </c>
      <c r="O373" s="54" t="s">
        <v>24</v>
      </c>
      <c r="P373" s="54" t="s">
        <v>22</v>
      </c>
      <c r="Q373" s="54" t="s">
        <v>46</v>
      </c>
      <c r="R373" s="165"/>
      <c r="S373" s="63" t="s">
        <v>0</v>
      </c>
      <c r="T373" s="1">
        <v>30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96"/>
        <v>30</v>
      </c>
      <c r="AB373" s="58">
        <v>2018</v>
      </c>
      <c r="AC373" s="9"/>
      <c r="AD373" s="101"/>
      <c r="AE373" s="101"/>
    </row>
    <row r="374" spans="1:31" ht="16.350000000000001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65"/>
      <c r="S374" s="63" t="s">
        <v>0</v>
      </c>
      <c r="T374" s="1">
        <v>166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96"/>
        <v>166</v>
      </c>
      <c r="AB374" s="58">
        <v>2018</v>
      </c>
      <c r="AC374" s="9"/>
      <c r="AD374" s="101"/>
      <c r="AE374" s="101"/>
    </row>
    <row r="375" spans="1:31" ht="16.350000000000001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39</v>
      </c>
      <c r="R375" s="165"/>
      <c r="S375" s="63" t="s">
        <v>0</v>
      </c>
      <c r="T375" s="1">
        <v>464.4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96"/>
        <v>464.4</v>
      </c>
      <c r="AB375" s="58">
        <v>2018</v>
      </c>
      <c r="AC375" s="9"/>
      <c r="AD375" s="101"/>
      <c r="AE375" s="101"/>
    </row>
    <row r="376" spans="1:31" ht="37.15" hidden="1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80" t="s">
        <v>214</v>
      </c>
      <c r="S376" s="84" t="s">
        <v>167</v>
      </c>
      <c r="T376" s="3">
        <v>930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6">
        <f t="shared" si="96"/>
        <v>930</v>
      </c>
      <c r="AB376" s="41">
        <v>2018</v>
      </c>
      <c r="AC376" s="9"/>
      <c r="AD376" s="101"/>
      <c r="AE376" s="101"/>
    </row>
    <row r="377" spans="1:31" ht="22.15" hidden="1" customHeight="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165" t="s">
        <v>215</v>
      </c>
      <c r="S377" s="63" t="s">
        <v>0</v>
      </c>
      <c r="T377" s="1">
        <f>SUM(T378:T382)</f>
        <v>1421.6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96"/>
        <v>1421.6</v>
      </c>
      <c r="AB377" s="58">
        <v>2018</v>
      </c>
      <c r="AC377" s="9"/>
      <c r="AD377" s="101"/>
      <c r="AE377" s="101"/>
    </row>
    <row r="378" spans="1:31" ht="16.350000000000001" hidden="1" customHeight="1" x14ac:dyDescent="0.25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21</v>
      </c>
      <c r="F378" s="54" t="s">
        <v>18</v>
      </c>
      <c r="G378" s="54" t="s">
        <v>22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19</v>
      </c>
      <c r="N378" s="54" t="s">
        <v>18</v>
      </c>
      <c r="O378" s="54" t="s">
        <v>24</v>
      </c>
      <c r="P378" s="54" t="s">
        <v>22</v>
      </c>
      <c r="Q378" s="54" t="s">
        <v>45</v>
      </c>
      <c r="R378" s="165"/>
      <c r="S378" s="63" t="s">
        <v>0</v>
      </c>
      <c r="T378" s="1">
        <v>400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96"/>
        <v>400</v>
      </c>
      <c r="AB378" s="58">
        <v>2018</v>
      </c>
      <c r="AC378" s="9"/>
      <c r="AD378" s="101"/>
      <c r="AE378" s="101"/>
    </row>
    <row r="379" spans="1:31" ht="16.350000000000001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43</v>
      </c>
      <c r="P379" s="54" t="s">
        <v>22</v>
      </c>
      <c r="Q379" s="54" t="s">
        <v>170</v>
      </c>
      <c r="R379" s="165"/>
      <c r="S379" s="63" t="s">
        <v>0</v>
      </c>
      <c r="T379" s="1">
        <v>50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>SUM(T379:Y379)</f>
        <v>50</v>
      </c>
      <c r="AB379" s="58">
        <v>2018</v>
      </c>
      <c r="AC379" s="9"/>
      <c r="AD379" s="101"/>
      <c r="AE379" s="101"/>
    </row>
    <row r="380" spans="1:31" ht="16.350000000000001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24</v>
      </c>
      <c r="P380" s="54" t="s">
        <v>22</v>
      </c>
      <c r="Q380" s="54" t="s">
        <v>46</v>
      </c>
      <c r="R380" s="165"/>
      <c r="S380" s="63" t="s">
        <v>0</v>
      </c>
      <c r="T380" s="1">
        <v>83.1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96"/>
        <v>83.1</v>
      </c>
      <c r="AB380" s="58">
        <v>2018</v>
      </c>
      <c r="AC380" s="9"/>
      <c r="AD380" s="101"/>
      <c r="AE380" s="101"/>
    </row>
    <row r="381" spans="1:31" ht="16.350000000000001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65"/>
      <c r="S381" s="63" t="s">
        <v>0</v>
      </c>
      <c r="T381" s="1">
        <v>143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96"/>
        <v>143</v>
      </c>
      <c r="AB381" s="58">
        <v>2018</v>
      </c>
      <c r="AC381" s="9"/>
      <c r="AD381" s="101"/>
      <c r="AE381" s="101"/>
    </row>
    <row r="382" spans="1:31" ht="16.350000000000001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21</v>
      </c>
      <c r="F382" s="54" t="s">
        <v>18</v>
      </c>
      <c r="G382" s="54" t="s">
        <v>22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39</v>
      </c>
      <c r="R382" s="165"/>
      <c r="S382" s="63" t="s">
        <v>0</v>
      </c>
      <c r="T382" s="1">
        <v>745.5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96"/>
        <v>745.5</v>
      </c>
      <c r="AB382" s="58">
        <v>2018</v>
      </c>
      <c r="AC382" s="9"/>
      <c r="AD382" s="101"/>
      <c r="AE382" s="101"/>
    </row>
    <row r="383" spans="1:31" ht="36.6" hidden="1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80" t="s">
        <v>216</v>
      </c>
      <c r="S383" s="84" t="s">
        <v>167</v>
      </c>
      <c r="T383" s="3">
        <v>1070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6">
        <f t="shared" si="96"/>
        <v>1070</v>
      </c>
      <c r="AB383" s="41">
        <v>2018</v>
      </c>
      <c r="AC383" s="9"/>
      <c r="AD383" s="101"/>
      <c r="AE383" s="101"/>
    </row>
    <row r="384" spans="1:31" ht="19.899999999999999" hidden="1" customHeight="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165" t="s">
        <v>217</v>
      </c>
      <c r="S384" s="63" t="s">
        <v>0</v>
      </c>
      <c r="T384" s="1">
        <f>SUM(T385:T389)</f>
        <v>263.89999999999998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96"/>
        <v>263.89999999999998</v>
      </c>
      <c r="AB384" s="58">
        <v>2018</v>
      </c>
      <c r="AC384" s="9"/>
      <c r="AD384" s="101"/>
      <c r="AE384" s="101"/>
    </row>
    <row r="385" spans="1:31" ht="16.350000000000001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19</v>
      </c>
      <c r="N385" s="54" t="s">
        <v>18</v>
      </c>
      <c r="O385" s="54" t="s">
        <v>24</v>
      </c>
      <c r="P385" s="54" t="s">
        <v>22</v>
      </c>
      <c r="Q385" s="54" t="s">
        <v>45</v>
      </c>
      <c r="R385" s="165"/>
      <c r="S385" s="63" t="s">
        <v>0</v>
      </c>
      <c r="T385" s="1">
        <v>105.5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96"/>
        <v>105.5</v>
      </c>
      <c r="AB385" s="58">
        <v>2018</v>
      </c>
      <c r="AC385" s="9"/>
      <c r="AD385" s="101"/>
      <c r="AE385" s="101"/>
    </row>
    <row r="386" spans="1:31" ht="16.350000000000001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19</v>
      </c>
      <c r="N386" s="54" t="s">
        <v>18</v>
      </c>
      <c r="O386" s="54" t="s">
        <v>43</v>
      </c>
      <c r="P386" s="54" t="s">
        <v>22</v>
      </c>
      <c r="Q386" s="54" t="s">
        <v>170</v>
      </c>
      <c r="R386" s="165"/>
      <c r="S386" s="63" t="s">
        <v>0</v>
      </c>
      <c r="T386" s="1">
        <v>20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96"/>
        <v>20</v>
      </c>
      <c r="AB386" s="58">
        <v>2018</v>
      </c>
      <c r="AC386" s="9"/>
      <c r="AD386" s="101"/>
      <c r="AE386" s="101"/>
    </row>
    <row r="387" spans="1:31" ht="16.350000000000001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46</v>
      </c>
      <c r="R387" s="165"/>
      <c r="S387" s="63" t="s">
        <v>0</v>
      </c>
      <c r="T387" s="1">
        <v>19.399999999999999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96"/>
        <v>19.399999999999999</v>
      </c>
      <c r="AB387" s="58">
        <v>2018</v>
      </c>
      <c r="AC387" s="9"/>
      <c r="AD387" s="101"/>
      <c r="AE387" s="101"/>
    </row>
    <row r="388" spans="1:31" ht="16.350000000000001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46</v>
      </c>
      <c r="R388" s="165"/>
      <c r="S388" s="63" t="s">
        <v>0</v>
      </c>
      <c r="T388" s="1">
        <v>39.6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96"/>
        <v>39.6</v>
      </c>
      <c r="AB388" s="58">
        <v>2018</v>
      </c>
      <c r="AC388" s="9"/>
      <c r="AD388" s="101"/>
      <c r="AE388" s="101"/>
    </row>
    <row r="389" spans="1:31" ht="16.350000000000001" hidden="1" customHeight="1" x14ac:dyDescent="0.25">
      <c r="A389" s="54" t="s">
        <v>18</v>
      </c>
      <c r="B389" s="54" t="s">
        <v>18</v>
      </c>
      <c r="C389" s="54" t="s">
        <v>21</v>
      </c>
      <c r="D389" s="54" t="s">
        <v>18</v>
      </c>
      <c r="E389" s="54" t="s">
        <v>21</v>
      </c>
      <c r="F389" s="54" t="s">
        <v>18</v>
      </c>
      <c r="G389" s="54" t="s">
        <v>22</v>
      </c>
      <c r="H389" s="54" t="s">
        <v>19</v>
      </c>
      <c r="I389" s="54" t="s">
        <v>24</v>
      </c>
      <c r="J389" s="54" t="s">
        <v>18</v>
      </c>
      <c r="K389" s="54" t="s">
        <v>18</v>
      </c>
      <c r="L389" s="54" t="s">
        <v>20</v>
      </c>
      <c r="M389" s="54" t="s">
        <v>37</v>
      </c>
      <c r="N389" s="54" t="s">
        <v>18</v>
      </c>
      <c r="O389" s="54" t="s">
        <v>24</v>
      </c>
      <c r="P389" s="54" t="s">
        <v>22</v>
      </c>
      <c r="Q389" s="54" t="s">
        <v>39</v>
      </c>
      <c r="R389" s="165"/>
      <c r="S389" s="63" t="s">
        <v>0</v>
      </c>
      <c r="T389" s="1">
        <v>79.400000000000006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96"/>
        <v>79.400000000000006</v>
      </c>
      <c r="AB389" s="58">
        <v>2018</v>
      </c>
      <c r="AC389" s="9"/>
      <c r="AD389" s="101"/>
      <c r="AE389" s="101"/>
    </row>
    <row r="390" spans="1:31" ht="36.6" hidden="1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80" t="s">
        <v>218</v>
      </c>
      <c r="S390" s="84" t="s">
        <v>8</v>
      </c>
      <c r="T390" s="44">
        <v>5</v>
      </c>
      <c r="U390" s="44">
        <v>0</v>
      </c>
      <c r="V390" s="44">
        <v>0</v>
      </c>
      <c r="W390" s="44">
        <v>0</v>
      </c>
      <c r="X390" s="44">
        <v>0</v>
      </c>
      <c r="Y390" s="44">
        <v>0</v>
      </c>
      <c r="Z390" s="44">
        <v>0</v>
      </c>
      <c r="AA390" s="6">
        <f t="shared" si="96"/>
        <v>5</v>
      </c>
      <c r="AB390" s="41">
        <v>2018</v>
      </c>
      <c r="AC390" s="9"/>
      <c r="AD390" s="101"/>
      <c r="AE390" s="101"/>
    </row>
    <row r="391" spans="1:31" ht="15.6" hidden="1" customHeight="1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165" t="s">
        <v>219</v>
      </c>
      <c r="S391" s="63" t="s">
        <v>0</v>
      </c>
      <c r="T391" s="1">
        <f>SUM(T392:T396)</f>
        <v>490.3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96"/>
        <v>490.3</v>
      </c>
      <c r="AB391" s="58">
        <v>2018</v>
      </c>
      <c r="AC391" s="9"/>
      <c r="AD391" s="101"/>
      <c r="AE391" s="101"/>
    </row>
    <row r="392" spans="1:31" ht="15.6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24</v>
      </c>
      <c r="F392" s="54" t="s">
        <v>18</v>
      </c>
      <c r="G392" s="54" t="s">
        <v>43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19</v>
      </c>
      <c r="N392" s="54" t="s">
        <v>18</v>
      </c>
      <c r="O392" s="54" t="s">
        <v>24</v>
      </c>
      <c r="P392" s="54" t="s">
        <v>22</v>
      </c>
      <c r="Q392" s="54" t="s">
        <v>45</v>
      </c>
      <c r="R392" s="165"/>
      <c r="S392" s="63" t="s">
        <v>0</v>
      </c>
      <c r="T392" s="1">
        <v>196.1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96"/>
        <v>196.1</v>
      </c>
      <c r="AB392" s="58">
        <v>2018</v>
      </c>
      <c r="AC392" s="9"/>
      <c r="AD392" s="101"/>
      <c r="AE392" s="101"/>
    </row>
    <row r="393" spans="1:31" ht="15.6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24</v>
      </c>
      <c r="F393" s="54" t="s">
        <v>18</v>
      </c>
      <c r="G393" s="54" t="s">
        <v>43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19</v>
      </c>
      <c r="N393" s="54" t="s">
        <v>18</v>
      </c>
      <c r="O393" s="54" t="s">
        <v>43</v>
      </c>
      <c r="P393" s="54" t="s">
        <v>22</v>
      </c>
      <c r="Q393" s="54" t="s">
        <v>170</v>
      </c>
      <c r="R393" s="165"/>
      <c r="S393" s="63" t="s">
        <v>0</v>
      </c>
      <c r="T393" s="1">
        <v>30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>SUM(T393:Y393)</f>
        <v>30</v>
      </c>
      <c r="AB393" s="58">
        <v>2018</v>
      </c>
      <c r="AC393" s="9"/>
      <c r="AD393" s="101"/>
      <c r="AE393" s="101"/>
    </row>
    <row r="394" spans="1:31" ht="15.6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24</v>
      </c>
      <c r="F394" s="54" t="s">
        <v>18</v>
      </c>
      <c r="G394" s="54" t="s">
        <v>43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46</v>
      </c>
      <c r="R394" s="165"/>
      <c r="S394" s="63" t="s">
        <v>0</v>
      </c>
      <c r="T394" s="1">
        <v>33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96"/>
        <v>33</v>
      </c>
      <c r="AB394" s="58">
        <v>2018</v>
      </c>
      <c r="AC394" s="9"/>
      <c r="AD394" s="101"/>
      <c r="AE394" s="101"/>
    </row>
    <row r="395" spans="1:31" ht="15.6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24</v>
      </c>
      <c r="F395" s="54" t="s">
        <v>18</v>
      </c>
      <c r="G395" s="54" t="s">
        <v>43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46</v>
      </c>
      <c r="R395" s="165"/>
      <c r="S395" s="63" t="s">
        <v>0</v>
      </c>
      <c r="T395" s="1">
        <v>102.9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96"/>
        <v>102.9</v>
      </c>
      <c r="AB395" s="58">
        <v>2018</v>
      </c>
      <c r="AC395" s="9"/>
      <c r="AD395" s="101"/>
      <c r="AE395" s="101"/>
    </row>
    <row r="396" spans="1:31" ht="15.6" hidden="1" customHeight="1" x14ac:dyDescent="0.25">
      <c r="A396" s="54" t="s">
        <v>18</v>
      </c>
      <c r="B396" s="54" t="s">
        <v>18</v>
      </c>
      <c r="C396" s="54" t="s">
        <v>21</v>
      </c>
      <c r="D396" s="54" t="s">
        <v>18</v>
      </c>
      <c r="E396" s="54" t="s">
        <v>24</v>
      </c>
      <c r="F396" s="54" t="s">
        <v>18</v>
      </c>
      <c r="G396" s="54" t="s">
        <v>43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37</v>
      </c>
      <c r="N396" s="54" t="s">
        <v>18</v>
      </c>
      <c r="O396" s="54" t="s">
        <v>24</v>
      </c>
      <c r="P396" s="54" t="s">
        <v>22</v>
      </c>
      <c r="Q396" s="54" t="s">
        <v>39</v>
      </c>
      <c r="R396" s="165"/>
      <c r="S396" s="63" t="s">
        <v>0</v>
      </c>
      <c r="T396" s="1">
        <v>128.30000000000001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9">
        <f t="shared" si="96"/>
        <v>128.30000000000001</v>
      </c>
      <c r="AB396" s="58">
        <v>2018</v>
      </c>
      <c r="AC396" s="9"/>
      <c r="AD396" s="101"/>
      <c r="AE396" s="101"/>
    </row>
    <row r="397" spans="1:31" ht="31.15" hidden="1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78" t="s">
        <v>220</v>
      </c>
      <c r="S397" s="89" t="s">
        <v>172</v>
      </c>
      <c r="T397" s="3">
        <v>180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6">
        <f t="shared" si="96"/>
        <v>180</v>
      </c>
      <c r="AB397" s="41">
        <v>2018</v>
      </c>
      <c r="AC397" s="9"/>
      <c r="AD397" s="101"/>
      <c r="AE397" s="101"/>
    </row>
    <row r="398" spans="1:31" ht="15.6" hidden="1" customHeight="1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165" t="s">
        <v>221</v>
      </c>
      <c r="S398" s="63" t="s">
        <v>0</v>
      </c>
      <c r="T398" s="1">
        <f>SUM(T399:T403)</f>
        <v>1177.5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96"/>
        <v>1177.5</v>
      </c>
      <c r="AB398" s="58">
        <v>2018</v>
      </c>
      <c r="AC398" s="9"/>
      <c r="AD398" s="101"/>
      <c r="AE398" s="101"/>
    </row>
    <row r="399" spans="1:31" ht="15.6" hidden="1" customHeight="1" x14ac:dyDescent="0.25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21</v>
      </c>
      <c r="F399" s="54" t="s">
        <v>18</v>
      </c>
      <c r="G399" s="54" t="s">
        <v>22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24</v>
      </c>
      <c r="P399" s="54" t="s">
        <v>22</v>
      </c>
      <c r="Q399" s="54" t="s">
        <v>45</v>
      </c>
      <c r="R399" s="165"/>
      <c r="S399" s="63" t="s">
        <v>0</v>
      </c>
      <c r="T399" s="1">
        <v>400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96"/>
        <v>400</v>
      </c>
      <c r="AB399" s="58">
        <v>2018</v>
      </c>
      <c r="AC399" s="9"/>
      <c r="AD399" s="101"/>
      <c r="AE399" s="101"/>
    </row>
    <row r="400" spans="1:31" ht="15.6" hidden="1" customHeight="1" x14ac:dyDescent="0.25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21</v>
      </c>
      <c r="F400" s="54" t="s">
        <v>18</v>
      </c>
      <c r="G400" s="54" t="s">
        <v>22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19</v>
      </c>
      <c r="N400" s="54" t="s">
        <v>18</v>
      </c>
      <c r="O400" s="54" t="s">
        <v>43</v>
      </c>
      <c r="P400" s="54" t="s">
        <v>22</v>
      </c>
      <c r="Q400" s="54" t="s">
        <v>170</v>
      </c>
      <c r="R400" s="165"/>
      <c r="S400" s="63" t="s">
        <v>0</v>
      </c>
      <c r="T400" s="1">
        <v>45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96"/>
        <v>45</v>
      </c>
      <c r="AB400" s="58">
        <v>2018</v>
      </c>
      <c r="AC400" s="9"/>
      <c r="AD400" s="101"/>
      <c r="AE400" s="101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21</v>
      </c>
      <c r="F401" s="54" t="s">
        <v>18</v>
      </c>
      <c r="G401" s="54" t="s">
        <v>22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65"/>
      <c r="S401" s="63" t="s">
        <v>0</v>
      </c>
      <c r="T401" s="1">
        <v>58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96"/>
        <v>58</v>
      </c>
      <c r="AB401" s="58">
        <v>2018</v>
      </c>
      <c r="AC401" s="9"/>
      <c r="AD401" s="101"/>
      <c r="AE401" s="101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21</v>
      </c>
      <c r="F402" s="54" t="s">
        <v>18</v>
      </c>
      <c r="G402" s="54" t="s">
        <v>22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46</v>
      </c>
      <c r="R402" s="165"/>
      <c r="S402" s="63" t="s">
        <v>0</v>
      </c>
      <c r="T402" s="1">
        <v>353.3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96"/>
        <v>353.3</v>
      </c>
      <c r="AB402" s="58">
        <v>2018</v>
      </c>
      <c r="AC402" s="86"/>
      <c r="AD402" s="101"/>
      <c r="AE402" s="101"/>
    </row>
    <row r="403" spans="1:31" ht="15.6" hidden="1" customHeight="1" x14ac:dyDescent="0.25">
      <c r="A403" s="54" t="s">
        <v>18</v>
      </c>
      <c r="B403" s="54" t="s">
        <v>18</v>
      </c>
      <c r="C403" s="54" t="s">
        <v>21</v>
      </c>
      <c r="D403" s="54" t="s">
        <v>18</v>
      </c>
      <c r="E403" s="54" t="s">
        <v>21</v>
      </c>
      <c r="F403" s="54" t="s">
        <v>18</v>
      </c>
      <c r="G403" s="54" t="s">
        <v>22</v>
      </c>
      <c r="H403" s="54" t="s">
        <v>19</v>
      </c>
      <c r="I403" s="54" t="s">
        <v>24</v>
      </c>
      <c r="J403" s="54" t="s">
        <v>18</v>
      </c>
      <c r="K403" s="54" t="s">
        <v>18</v>
      </c>
      <c r="L403" s="54" t="s">
        <v>20</v>
      </c>
      <c r="M403" s="54" t="s">
        <v>37</v>
      </c>
      <c r="N403" s="54" t="s">
        <v>18</v>
      </c>
      <c r="O403" s="54" t="s">
        <v>24</v>
      </c>
      <c r="P403" s="54" t="s">
        <v>22</v>
      </c>
      <c r="Q403" s="54" t="s">
        <v>39</v>
      </c>
      <c r="R403" s="165"/>
      <c r="S403" s="63" t="s">
        <v>0</v>
      </c>
      <c r="T403" s="1">
        <v>321.2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59">
        <f t="shared" si="96"/>
        <v>321.2</v>
      </c>
      <c r="AB403" s="58">
        <v>2018</v>
      </c>
      <c r="AC403" s="9"/>
      <c r="AD403" s="101"/>
      <c r="AE403" s="101"/>
    </row>
    <row r="404" spans="1:31" ht="27.6" hidden="1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88" t="s">
        <v>222</v>
      </c>
      <c r="S404" s="84" t="s">
        <v>8</v>
      </c>
      <c r="T404" s="44">
        <v>1</v>
      </c>
      <c r="U404" s="44">
        <v>0</v>
      </c>
      <c r="V404" s="44">
        <v>0</v>
      </c>
      <c r="W404" s="44">
        <v>0</v>
      </c>
      <c r="X404" s="44">
        <v>0</v>
      </c>
      <c r="Y404" s="44">
        <v>0</v>
      </c>
      <c r="Z404" s="44">
        <v>0</v>
      </c>
      <c r="AA404" s="49">
        <f t="shared" si="96"/>
        <v>1</v>
      </c>
      <c r="AB404" s="41">
        <v>2018</v>
      </c>
      <c r="AC404" s="9"/>
      <c r="AD404" s="101"/>
      <c r="AE404" s="101"/>
    </row>
    <row r="405" spans="1:31" ht="15.6" hidden="1" customHeight="1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165" t="s">
        <v>223</v>
      </c>
      <c r="S405" s="63" t="s">
        <v>0</v>
      </c>
      <c r="T405" s="1">
        <f>SUM(T406:T409)</f>
        <v>979.3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96"/>
        <v>979.3</v>
      </c>
      <c r="AB405" s="58">
        <v>2018</v>
      </c>
      <c r="AC405" s="9"/>
      <c r="AD405" s="101"/>
      <c r="AE405" s="101"/>
    </row>
    <row r="406" spans="1:31" ht="15.6" hidden="1" customHeight="1" x14ac:dyDescent="0.25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24</v>
      </c>
      <c r="P406" s="54" t="s">
        <v>22</v>
      </c>
      <c r="Q406" s="54" t="s">
        <v>45</v>
      </c>
      <c r="R406" s="165"/>
      <c r="S406" s="63" t="s">
        <v>0</v>
      </c>
      <c r="T406" s="1">
        <v>391.7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 t="shared" si="96"/>
        <v>391.7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43</v>
      </c>
      <c r="P407" s="54" t="s">
        <v>22</v>
      </c>
      <c r="Q407" s="54" t="s">
        <v>170</v>
      </c>
      <c r="R407" s="165"/>
      <c r="S407" s="63" t="s">
        <v>0</v>
      </c>
      <c r="T407" s="1">
        <v>30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96"/>
        <v>30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65"/>
      <c r="S408" s="63" t="s">
        <v>0</v>
      </c>
      <c r="T408" s="1">
        <v>205.6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96"/>
        <v>205.6</v>
      </c>
      <c r="AB408" s="58">
        <v>2018</v>
      </c>
      <c r="AC408" s="9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65"/>
      <c r="S409" s="63" t="s">
        <v>0</v>
      </c>
      <c r="T409" s="1">
        <v>352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96"/>
        <v>352</v>
      </c>
      <c r="AB409" s="58">
        <v>2018</v>
      </c>
      <c r="AC409" s="9"/>
      <c r="AD409" s="101"/>
      <c r="AE409" s="101"/>
    </row>
    <row r="410" spans="1:31" ht="31.15" hidden="1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0" t="s">
        <v>224</v>
      </c>
      <c r="S410" s="84" t="s">
        <v>167</v>
      </c>
      <c r="T410" s="3">
        <v>356.5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6">
        <f t="shared" si="96"/>
        <v>356.5</v>
      </c>
      <c r="AB410" s="41">
        <v>2018</v>
      </c>
      <c r="AC410" s="9"/>
      <c r="AD410" s="101"/>
      <c r="AE410" s="101"/>
    </row>
    <row r="411" spans="1:31" ht="15.6" hidden="1" customHeight="1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165" t="s">
        <v>225</v>
      </c>
      <c r="S411" s="63" t="s">
        <v>0</v>
      </c>
      <c r="T411" s="1">
        <f>SUM(T412:T415)</f>
        <v>695.4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59">
        <f t="shared" si="96"/>
        <v>695.4</v>
      </c>
      <c r="AB411" s="58">
        <v>2018</v>
      </c>
      <c r="AC411" s="9"/>
      <c r="AD411" s="101"/>
      <c r="AE411" s="101"/>
    </row>
    <row r="412" spans="1:31" ht="15.6" hidden="1" customHeight="1" x14ac:dyDescent="0.25">
      <c r="A412" s="54" t="s">
        <v>18</v>
      </c>
      <c r="B412" s="54" t="s">
        <v>18</v>
      </c>
      <c r="C412" s="54" t="s">
        <v>21</v>
      </c>
      <c r="D412" s="54" t="s">
        <v>18</v>
      </c>
      <c r="E412" s="54" t="s">
        <v>21</v>
      </c>
      <c r="F412" s="54" t="s">
        <v>18</v>
      </c>
      <c r="G412" s="54" t="s">
        <v>22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65"/>
      <c r="S412" s="63" t="s">
        <v>0</v>
      </c>
      <c r="T412" s="1">
        <v>278.2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si="96"/>
        <v>278.2</v>
      </c>
      <c r="AB412" s="58">
        <v>2018</v>
      </c>
      <c r="AC412" s="9"/>
      <c r="AD412" s="101"/>
      <c r="AE412" s="101"/>
    </row>
    <row r="413" spans="1:31" ht="15.6" hidden="1" customHeight="1" x14ac:dyDescent="0.25">
      <c r="A413" s="54" t="s">
        <v>18</v>
      </c>
      <c r="B413" s="54" t="s">
        <v>18</v>
      </c>
      <c r="C413" s="54" t="s">
        <v>21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43</v>
      </c>
      <c r="P413" s="54" t="s">
        <v>22</v>
      </c>
      <c r="Q413" s="54" t="s">
        <v>170</v>
      </c>
      <c r="R413" s="165"/>
      <c r="S413" s="63" t="s">
        <v>0</v>
      </c>
      <c r="T413" s="1">
        <v>20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96"/>
        <v>20</v>
      </c>
      <c r="AB413" s="58">
        <v>2018</v>
      </c>
      <c r="AC413" s="9"/>
      <c r="AD413" s="101"/>
      <c r="AE413" s="101"/>
    </row>
    <row r="414" spans="1:31" ht="15.6" hidden="1" customHeight="1" x14ac:dyDescent="0.25">
      <c r="A414" s="54" t="s">
        <v>18</v>
      </c>
      <c r="B414" s="54" t="s">
        <v>18</v>
      </c>
      <c r="C414" s="54" t="s">
        <v>21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46</v>
      </c>
      <c r="R414" s="165"/>
      <c r="S414" s="63" t="s">
        <v>0</v>
      </c>
      <c r="T414" s="1">
        <v>104.3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96"/>
        <v>104.3</v>
      </c>
      <c r="AB414" s="58">
        <v>2018</v>
      </c>
      <c r="AC414" s="9"/>
      <c r="AD414" s="101"/>
      <c r="AE414" s="101"/>
    </row>
    <row r="415" spans="1:31" ht="15.6" hidden="1" customHeight="1" x14ac:dyDescent="0.25">
      <c r="A415" s="54" t="s">
        <v>18</v>
      </c>
      <c r="B415" s="54" t="s">
        <v>18</v>
      </c>
      <c r="C415" s="54" t="s">
        <v>21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39</v>
      </c>
      <c r="R415" s="165"/>
      <c r="S415" s="63" t="s">
        <v>0</v>
      </c>
      <c r="T415" s="1">
        <v>292.89999999999998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96"/>
        <v>292.89999999999998</v>
      </c>
      <c r="AB415" s="58">
        <v>2018</v>
      </c>
      <c r="AC415" s="9"/>
      <c r="AD415" s="101"/>
      <c r="AE415" s="101"/>
    </row>
    <row r="416" spans="1:31" ht="31.15" hidden="1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78" t="s">
        <v>226</v>
      </c>
      <c r="S416" s="89" t="s">
        <v>172</v>
      </c>
      <c r="T416" s="3">
        <v>190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6">
        <f t="shared" si="96"/>
        <v>190</v>
      </c>
      <c r="AB416" s="41">
        <v>2018</v>
      </c>
      <c r="AC416" s="9"/>
      <c r="AD416" s="101"/>
      <c r="AE416" s="101"/>
    </row>
    <row r="417" spans="1:31" ht="15.6" hidden="1" customHeight="1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165" t="s">
        <v>227</v>
      </c>
      <c r="S417" s="63" t="s">
        <v>0</v>
      </c>
      <c r="T417" s="1">
        <f>SUM(T418:T422)</f>
        <v>836.4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59">
        <f t="shared" si="96"/>
        <v>836.4</v>
      </c>
      <c r="AB417" s="58">
        <v>2018</v>
      </c>
      <c r="AC417" s="9"/>
      <c r="AD417" s="101"/>
      <c r="AE417" s="101"/>
    </row>
    <row r="418" spans="1:31" ht="15.6" hidden="1" customHeight="1" x14ac:dyDescent="0.25">
      <c r="A418" s="54" t="s">
        <v>18</v>
      </c>
      <c r="B418" s="54" t="s">
        <v>18</v>
      </c>
      <c r="C418" s="54" t="s">
        <v>21</v>
      </c>
      <c r="D418" s="54" t="s">
        <v>18</v>
      </c>
      <c r="E418" s="54" t="s">
        <v>21</v>
      </c>
      <c r="F418" s="54" t="s">
        <v>18</v>
      </c>
      <c r="G418" s="54" t="s">
        <v>22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18</v>
      </c>
      <c r="O418" s="54" t="s">
        <v>24</v>
      </c>
      <c r="P418" s="54" t="s">
        <v>22</v>
      </c>
      <c r="Q418" s="54" t="s">
        <v>45</v>
      </c>
      <c r="R418" s="165"/>
      <c r="S418" s="63" t="s">
        <v>0</v>
      </c>
      <c r="T418" s="1">
        <v>334.5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59">
        <f t="shared" si="96"/>
        <v>334.5</v>
      </c>
      <c r="AB418" s="58">
        <v>2018</v>
      </c>
      <c r="AC418" s="9"/>
      <c r="AD418" s="101"/>
      <c r="AE418" s="101"/>
    </row>
    <row r="419" spans="1:31" ht="15.6" hidden="1" customHeight="1" x14ac:dyDescent="0.25">
      <c r="A419" s="54" t="s">
        <v>18</v>
      </c>
      <c r="B419" s="54" t="s">
        <v>18</v>
      </c>
      <c r="C419" s="54" t="s">
        <v>21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19</v>
      </c>
      <c r="N419" s="54" t="s">
        <v>18</v>
      </c>
      <c r="O419" s="54" t="s">
        <v>43</v>
      </c>
      <c r="P419" s="54" t="s">
        <v>22</v>
      </c>
      <c r="Q419" s="54" t="s">
        <v>170</v>
      </c>
      <c r="R419" s="165"/>
      <c r="S419" s="63" t="s">
        <v>0</v>
      </c>
      <c r="T419" s="1">
        <v>30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59">
        <f>SUM(T419:Y419)</f>
        <v>30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21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24</v>
      </c>
      <c r="P420" s="54" t="s">
        <v>22</v>
      </c>
      <c r="Q420" s="54" t="s">
        <v>46</v>
      </c>
      <c r="R420" s="165"/>
      <c r="S420" s="63" t="s">
        <v>0</v>
      </c>
      <c r="T420" s="1">
        <v>16.399999999999999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9">
        <f t="shared" si="96"/>
        <v>16.399999999999999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21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46</v>
      </c>
      <c r="R421" s="165"/>
      <c r="S421" s="63" t="s">
        <v>0</v>
      </c>
      <c r="T421" s="1">
        <v>125.5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9">
        <f t="shared" si="96"/>
        <v>125.5</v>
      </c>
      <c r="AB421" s="58">
        <v>2018</v>
      </c>
      <c r="AC421" s="9"/>
      <c r="AD421" s="101"/>
      <c r="AE421" s="101"/>
    </row>
    <row r="422" spans="1:31" ht="15.6" hidden="1" customHeight="1" x14ac:dyDescent="0.25">
      <c r="A422" s="54" t="s">
        <v>18</v>
      </c>
      <c r="B422" s="54" t="s">
        <v>18</v>
      </c>
      <c r="C422" s="54" t="s">
        <v>21</v>
      </c>
      <c r="D422" s="54" t="s">
        <v>18</v>
      </c>
      <c r="E422" s="54" t="s">
        <v>21</v>
      </c>
      <c r="F422" s="54" t="s">
        <v>18</v>
      </c>
      <c r="G422" s="54" t="s">
        <v>22</v>
      </c>
      <c r="H422" s="54" t="s">
        <v>19</v>
      </c>
      <c r="I422" s="54" t="s">
        <v>24</v>
      </c>
      <c r="J422" s="54" t="s">
        <v>18</v>
      </c>
      <c r="K422" s="54" t="s">
        <v>18</v>
      </c>
      <c r="L422" s="54" t="s">
        <v>20</v>
      </c>
      <c r="M422" s="54" t="s">
        <v>37</v>
      </c>
      <c r="N422" s="54" t="s">
        <v>18</v>
      </c>
      <c r="O422" s="54" t="s">
        <v>24</v>
      </c>
      <c r="P422" s="54" t="s">
        <v>22</v>
      </c>
      <c r="Q422" s="54" t="s">
        <v>39</v>
      </c>
      <c r="R422" s="165"/>
      <c r="S422" s="63" t="s">
        <v>0</v>
      </c>
      <c r="T422" s="1">
        <v>330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59">
        <f t="shared" si="96"/>
        <v>330</v>
      </c>
      <c r="AB422" s="58">
        <v>2018</v>
      </c>
      <c r="AC422" s="9"/>
      <c r="AD422" s="101"/>
      <c r="AE422" s="101"/>
    </row>
    <row r="423" spans="1:31" ht="27.6" hidden="1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88" t="s">
        <v>228</v>
      </c>
      <c r="S423" s="84" t="s">
        <v>8</v>
      </c>
      <c r="T423" s="44">
        <v>1</v>
      </c>
      <c r="U423" s="44">
        <v>0</v>
      </c>
      <c r="V423" s="44">
        <v>0</v>
      </c>
      <c r="W423" s="44">
        <v>0</v>
      </c>
      <c r="X423" s="44">
        <v>0</v>
      </c>
      <c r="Y423" s="44">
        <v>0</v>
      </c>
      <c r="Z423" s="44">
        <v>0</v>
      </c>
      <c r="AA423" s="6">
        <f t="shared" si="96"/>
        <v>1</v>
      </c>
      <c r="AB423" s="41">
        <v>2018</v>
      </c>
      <c r="AC423" s="9"/>
      <c r="AD423" s="101"/>
      <c r="AE423" s="101"/>
    </row>
    <row r="424" spans="1:31" ht="15.6" customHeight="1" x14ac:dyDescent="0.25">
      <c r="A424" s="54" t="s">
        <v>18</v>
      </c>
      <c r="B424" s="54" t="s">
        <v>18</v>
      </c>
      <c r="C424" s="54" t="s">
        <v>25</v>
      </c>
      <c r="D424" s="54" t="s">
        <v>18</v>
      </c>
      <c r="E424" s="54" t="s">
        <v>18</v>
      </c>
      <c r="F424" s="54" t="s">
        <v>18</v>
      </c>
      <c r="G424" s="54" t="s">
        <v>18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18</v>
      </c>
      <c r="N424" s="54" t="s">
        <v>18</v>
      </c>
      <c r="O424" s="54" t="s">
        <v>18</v>
      </c>
      <c r="P424" s="54" t="s">
        <v>18</v>
      </c>
      <c r="Q424" s="54" t="s">
        <v>18</v>
      </c>
      <c r="R424" s="159" t="s">
        <v>133</v>
      </c>
      <c r="S424" s="162" t="s">
        <v>0</v>
      </c>
      <c r="T424" s="59">
        <f>SUM(T425:T427)</f>
        <v>6913.9150000000009</v>
      </c>
      <c r="U424" s="59">
        <f>SUM(U425:U429)</f>
        <v>3765.5</v>
      </c>
      <c r="V424" s="59">
        <f>SUM(V425:V429)</f>
        <v>1745.5</v>
      </c>
      <c r="W424" s="59">
        <f>SUM(W425:W432)</f>
        <v>1838.6999999999998</v>
      </c>
      <c r="X424" s="59">
        <f>SUM(X425:X432)</f>
        <v>2718</v>
      </c>
      <c r="Y424" s="59">
        <v>0</v>
      </c>
      <c r="Z424" s="59">
        <v>0</v>
      </c>
      <c r="AA424" s="59">
        <f>SUM(T424:Z424)</f>
        <v>16981.615000000002</v>
      </c>
      <c r="AB424" s="58">
        <v>2022</v>
      </c>
      <c r="AC424" s="124"/>
      <c r="AD424" s="101"/>
      <c r="AE424" s="101"/>
    </row>
    <row r="425" spans="1:31" x14ac:dyDescent="0.25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18</v>
      </c>
      <c r="F425" s="54" t="s">
        <v>18</v>
      </c>
      <c r="G425" s="54" t="s">
        <v>18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19</v>
      </c>
      <c r="N425" s="54" t="s">
        <v>18</v>
      </c>
      <c r="O425" s="54" t="s">
        <v>24</v>
      </c>
      <c r="P425" s="54" t="s">
        <v>22</v>
      </c>
      <c r="Q425" s="54" t="s">
        <v>45</v>
      </c>
      <c r="R425" s="160"/>
      <c r="S425" s="163"/>
      <c r="T425" s="1">
        <f>T437+T443+T449+T455+T461+T467+T472+T478+T484+T490+T496</f>
        <v>2886.915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59">
        <f t="shared" ref="AA425:AA432" si="97">SUM(T425:Z425)</f>
        <v>2886.915</v>
      </c>
      <c r="AB425" s="58">
        <v>2018</v>
      </c>
      <c r="AC425" s="124"/>
      <c r="AD425" s="101"/>
      <c r="AE425" s="101"/>
    </row>
    <row r="426" spans="1:31" x14ac:dyDescent="0.25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18</v>
      </c>
      <c r="F426" s="54" t="s">
        <v>18</v>
      </c>
      <c r="G426" s="54" t="s">
        <v>18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60"/>
      <c r="S426" s="163"/>
      <c r="T426" s="1">
        <f>T438+T439+T444+T445+T450+T451+T456+T457+T462+T463+T468+T473+T474+T479+T480+T485+T486+T491+T492+T497+T498</f>
        <v>1641.4</v>
      </c>
      <c r="U426" s="1">
        <v>868</v>
      </c>
      <c r="V426" s="1">
        <v>501.9</v>
      </c>
      <c r="W426" s="1">
        <v>0</v>
      </c>
      <c r="X426" s="1">
        <v>0</v>
      </c>
      <c r="Y426" s="1">
        <v>0</v>
      </c>
      <c r="Z426" s="1">
        <v>0</v>
      </c>
      <c r="AA426" s="59">
        <f t="shared" si="97"/>
        <v>3011.3</v>
      </c>
      <c r="AB426" s="58">
        <v>2020</v>
      </c>
      <c r="AC426" s="124"/>
      <c r="AD426" s="101"/>
      <c r="AE426" s="101"/>
    </row>
    <row r="427" spans="1:31" x14ac:dyDescent="0.25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18</v>
      </c>
      <c r="F427" s="54" t="s">
        <v>18</v>
      </c>
      <c r="G427" s="54" t="s">
        <v>18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39</v>
      </c>
      <c r="R427" s="160"/>
      <c r="S427" s="163"/>
      <c r="T427" s="1">
        <v>2385.6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9">
        <f t="shared" si="97"/>
        <v>2385.6</v>
      </c>
      <c r="AB427" s="58">
        <v>2018</v>
      </c>
      <c r="AC427" s="124"/>
      <c r="AD427" s="101"/>
      <c r="AE427" s="101"/>
    </row>
    <row r="428" spans="1:31" x14ac:dyDescent="0.25">
      <c r="A428" s="54" t="s">
        <v>18</v>
      </c>
      <c r="B428" s="54" t="s">
        <v>18</v>
      </c>
      <c r="C428" s="54" t="s">
        <v>25</v>
      </c>
      <c r="D428" s="54" t="s">
        <v>18</v>
      </c>
      <c r="E428" s="54" t="s">
        <v>18</v>
      </c>
      <c r="F428" s="54" t="s">
        <v>18</v>
      </c>
      <c r="G428" s="54" t="s">
        <v>18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19</v>
      </c>
      <c r="N428" s="54" t="s">
        <v>18</v>
      </c>
      <c r="O428" s="54" t="s">
        <v>24</v>
      </c>
      <c r="P428" s="54" t="s">
        <v>22</v>
      </c>
      <c r="Q428" s="54" t="s">
        <v>18</v>
      </c>
      <c r="R428" s="160"/>
      <c r="S428" s="163"/>
      <c r="T428" s="1">
        <v>0</v>
      </c>
      <c r="U428" s="1">
        <f>1977-1.3</f>
        <v>1975.7</v>
      </c>
      <c r="V428" s="1">
        <f>968.2-585.9</f>
        <v>382.30000000000007</v>
      </c>
      <c r="W428" s="1">
        <v>0</v>
      </c>
      <c r="X428" s="1">
        <v>0</v>
      </c>
      <c r="Y428" s="1">
        <v>0</v>
      </c>
      <c r="Z428" s="1">
        <v>0</v>
      </c>
      <c r="AA428" s="59">
        <f t="shared" si="97"/>
        <v>2358</v>
      </c>
      <c r="AB428" s="58">
        <v>2020</v>
      </c>
      <c r="AC428" s="124"/>
      <c r="AD428" s="101"/>
      <c r="AE428" s="101"/>
    </row>
    <row r="429" spans="1:31" x14ac:dyDescent="0.25">
      <c r="A429" s="54" t="s">
        <v>18</v>
      </c>
      <c r="B429" s="54" t="s">
        <v>18</v>
      </c>
      <c r="C429" s="54" t="s">
        <v>25</v>
      </c>
      <c r="D429" s="54" t="s">
        <v>18</v>
      </c>
      <c r="E429" s="54" t="s">
        <v>18</v>
      </c>
      <c r="F429" s="54" t="s">
        <v>18</v>
      </c>
      <c r="G429" s="54" t="s">
        <v>18</v>
      </c>
      <c r="H429" s="54" t="s">
        <v>19</v>
      </c>
      <c r="I429" s="54" t="s">
        <v>24</v>
      </c>
      <c r="J429" s="54" t="s">
        <v>18</v>
      </c>
      <c r="K429" s="54" t="s">
        <v>18</v>
      </c>
      <c r="L429" s="54" t="s">
        <v>20</v>
      </c>
      <c r="M429" s="54" t="s">
        <v>37</v>
      </c>
      <c r="N429" s="54" t="s">
        <v>18</v>
      </c>
      <c r="O429" s="54" t="s">
        <v>24</v>
      </c>
      <c r="P429" s="54" t="s">
        <v>22</v>
      </c>
      <c r="Q429" s="54" t="s">
        <v>18</v>
      </c>
      <c r="R429" s="160"/>
      <c r="S429" s="163"/>
      <c r="T429" s="1">
        <v>0</v>
      </c>
      <c r="U429" s="1">
        <f>1119.1-197.3</f>
        <v>921.8</v>
      </c>
      <c r="V429" s="1">
        <f>466.5+457.8-63</f>
        <v>861.3</v>
      </c>
      <c r="W429" s="1">
        <v>0</v>
      </c>
      <c r="X429" s="1">
        <v>0</v>
      </c>
      <c r="Y429" s="1">
        <v>0</v>
      </c>
      <c r="Z429" s="1">
        <v>0</v>
      </c>
      <c r="AA429" s="59">
        <f t="shared" si="97"/>
        <v>1783.1</v>
      </c>
      <c r="AB429" s="58">
        <v>2020</v>
      </c>
      <c r="AC429" s="124"/>
      <c r="AD429" s="101"/>
      <c r="AE429" s="101"/>
    </row>
    <row r="430" spans="1:31" x14ac:dyDescent="0.25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18</v>
      </c>
      <c r="F430" s="54" t="s">
        <v>18</v>
      </c>
      <c r="G430" s="54" t="s">
        <v>18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37</v>
      </c>
      <c r="N430" s="54" t="s">
        <v>43</v>
      </c>
      <c r="O430" s="54" t="s">
        <v>18</v>
      </c>
      <c r="P430" s="54" t="s">
        <v>18</v>
      </c>
      <c r="Q430" s="54" t="s">
        <v>18</v>
      </c>
      <c r="R430" s="160"/>
      <c r="S430" s="163"/>
      <c r="T430" s="1">
        <v>0</v>
      </c>
      <c r="U430" s="1">
        <v>0</v>
      </c>
      <c r="V430" s="1">
        <v>0</v>
      </c>
      <c r="W430" s="1">
        <v>534.9</v>
      </c>
      <c r="X430" s="1">
        <v>723.3</v>
      </c>
      <c r="Y430" s="1">
        <v>0</v>
      </c>
      <c r="Z430" s="1">
        <v>0</v>
      </c>
      <c r="AA430" s="59">
        <f t="shared" si="97"/>
        <v>1258.1999999999998</v>
      </c>
      <c r="AB430" s="58">
        <v>2022</v>
      </c>
      <c r="AC430" s="124"/>
      <c r="AD430" s="101"/>
      <c r="AE430" s="101"/>
    </row>
    <row r="431" spans="1:3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18</v>
      </c>
      <c r="F431" s="54" t="s">
        <v>18</v>
      </c>
      <c r="G431" s="54" t="s">
        <v>18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19</v>
      </c>
      <c r="N431" s="54" t="s">
        <v>43</v>
      </c>
      <c r="O431" s="54" t="s">
        <v>18</v>
      </c>
      <c r="P431" s="54" t="s">
        <v>18</v>
      </c>
      <c r="Q431" s="54" t="s">
        <v>18</v>
      </c>
      <c r="R431" s="160"/>
      <c r="S431" s="163"/>
      <c r="T431" s="1">
        <v>0</v>
      </c>
      <c r="U431" s="1">
        <v>0</v>
      </c>
      <c r="V431" s="1">
        <v>0</v>
      </c>
      <c r="W431" s="1">
        <v>904.4</v>
      </c>
      <c r="X431" s="1">
        <v>1358.9</v>
      </c>
      <c r="Y431" s="1">
        <v>0</v>
      </c>
      <c r="Z431" s="1">
        <v>0</v>
      </c>
      <c r="AA431" s="59">
        <f t="shared" si="97"/>
        <v>2263.3000000000002</v>
      </c>
      <c r="AB431" s="58">
        <v>2022</v>
      </c>
      <c r="AC431" s="124"/>
      <c r="AD431" s="101"/>
      <c r="AE431" s="101"/>
    </row>
    <row r="432" spans="1:3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18</v>
      </c>
      <c r="F432" s="54" t="s">
        <v>18</v>
      </c>
      <c r="G432" s="54" t="s">
        <v>18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43</v>
      </c>
      <c r="O432" s="54" t="s">
        <v>46</v>
      </c>
      <c r="P432" s="54" t="s">
        <v>18</v>
      </c>
      <c r="Q432" s="54" t="s">
        <v>18</v>
      </c>
      <c r="R432" s="161"/>
      <c r="S432" s="164"/>
      <c r="T432" s="1">
        <v>0</v>
      </c>
      <c r="U432" s="1">
        <v>0</v>
      </c>
      <c r="V432" s="1">
        <v>0</v>
      </c>
      <c r="W432" s="1">
        <v>399.4</v>
      </c>
      <c r="X432" s="1">
        <v>635.79999999999995</v>
      </c>
      <c r="Y432" s="1">
        <v>0</v>
      </c>
      <c r="Z432" s="1">
        <v>0</v>
      </c>
      <c r="AA432" s="59">
        <f t="shared" si="97"/>
        <v>1035.1999999999998</v>
      </c>
      <c r="AB432" s="58">
        <v>2022</v>
      </c>
      <c r="AC432" s="124"/>
      <c r="AD432" s="101"/>
      <c r="AE432" s="101"/>
    </row>
    <row r="433" spans="1:31" ht="47.25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80" t="s">
        <v>305</v>
      </c>
      <c r="S433" s="62" t="s">
        <v>52</v>
      </c>
      <c r="T433" s="3">
        <v>1.5</v>
      </c>
      <c r="U433" s="3">
        <v>0.8</v>
      </c>
      <c r="V433" s="3">
        <v>0.6</v>
      </c>
      <c r="W433" s="3">
        <v>0.4</v>
      </c>
      <c r="X433" s="3">
        <v>0.8</v>
      </c>
      <c r="Y433" s="3">
        <v>0</v>
      </c>
      <c r="Z433" s="3">
        <v>0</v>
      </c>
      <c r="AA433" s="6">
        <f t="shared" ref="AA433:AA435" si="98">SUM(T433:Y433)</f>
        <v>4.0999999999999996</v>
      </c>
      <c r="AB433" s="41">
        <v>2022</v>
      </c>
      <c r="AC433" s="128"/>
      <c r="AD433" s="101"/>
      <c r="AE433" s="101"/>
    </row>
    <row r="434" spans="1:31" ht="46.9" hidden="1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80" t="s">
        <v>174</v>
      </c>
      <c r="S434" s="84" t="s">
        <v>173</v>
      </c>
      <c r="T434" s="3"/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6">
        <f t="shared" si="98"/>
        <v>0</v>
      </c>
      <c r="AB434" s="41">
        <v>2018</v>
      </c>
      <c r="AC434" s="128"/>
      <c r="AD434" s="101"/>
      <c r="AE434" s="101"/>
    </row>
    <row r="435" spans="1:31" ht="47.25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80" t="s">
        <v>306</v>
      </c>
      <c r="S435" s="84" t="s">
        <v>50</v>
      </c>
      <c r="T435" s="44">
        <v>10</v>
      </c>
      <c r="U435" s="44">
        <v>5</v>
      </c>
      <c r="V435" s="44">
        <v>2</v>
      </c>
      <c r="W435" s="44">
        <v>2</v>
      </c>
      <c r="X435" s="44">
        <v>2</v>
      </c>
      <c r="Y435" s="44">
        <v>0</v>
      </c>
      <c r="Z435" s="44">
        <v>0</v>
      </c>
      <c r="AA435" s="49">
        <f t="shared" si="98"/>
        <v>21</v>
      </c>
      <c r="AB435" s="41">
        <v>2022</v>
      </c>
      <c r="AC435" s="128"/>
      <c r="AD435" s="101"/>
      <c r="AE435" s="101"/>
    </row>
    <row r="436" spans="1:31" ht="15.6" hidden="1" customHeight="1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165" t="s">
        <v>231</v>
      </c>
      <c r="S436" s="63" t="s">
        <v>0</v>
      </c>
      <c r="T436" s="1">
        <f>SUM(T437:T440)</f>
        <v>721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ref="AA436:AA499" si="99">SUM(T436:Y436)</f>
        <v>721</v>
      </c>
      <c r="AB436" s="58">
        <v>2018</v>
      </c>
      <c r="AC436" s="9"/>
      <c r="AD436" s="101"/>
      <c r="AE436" s="101"/>
    </row>
    <row r="437" spans="1:31" ht="15.6" hidden="1" customHeight="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19</v>
      </c>
      <c r="N437" s="54" t="s">
        <v>18</v>
      </c>
      <c r="O437" s="54" t="s">
        <v>24</v>
      </c>
      <c r="P437" s="54" t="s">
        <v>22</v>
      </c>
      <c r="Q437" s="54" t="s">
        <v>45</v>
      </c>
      <c r="R437" s="165"/>
      <c r="S437" s="63" t="s">
        <v>0</v>
      </c>
      <c r="T437" s="1">
        <v>288.39999999999998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99"/>
        <v>288.39999999999998</v>
      </c>
      <c r="AB437" s="58">
        <v>2018</v>
      </c>
      <c r="AC437" s="9"/>
      <c r="AD437" s="101"/>
      <c r="AE437" s="101"/>
    </row>
    <row r="438" spans="1:31" ht="15.6" hidden="1" customHeight="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46</v>
      </c>
      <c r="R438" s="165"/>
      <c r="S438" s="63" t="s">
        <v>0</v>
      </c>
      <c r="T438" s="1">
        <v>6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99"/>
        <v>6</v>
      </c>
      <c r="AB438" s="58">
        <v>2018</v>
      </c>
      <c r="AC438" s="9"/>
      <c r="AD438" s="101"/>
      <c r="AE438" s="101"/>
    </row>
    <row r="439" spans="1:31" ht="15.6" hidden="1" customHeight="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21</v>
      </c>
      <c r="F439" s="54" t="s">
        <v>18</v>
      </c>
      <c r="G439" s="54" t="s">
        <v>22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18</v>
      </c>
      <c r="O439" s="54" t="s">
        <v>24</v>
      </c>
      <c r="P439" s="54" t="s">
        <v>22</v>
      </c>
      <c r="Q439" s="54" t="s">
        <v>46</v>
      </c>
      <c r="R439" s="165"/>
      <c r="S439" s="63" t="s">
        <v>0</v>
      </c>
      <c r="T439" s="1">
        <v>151.4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59">
        <f t="shared" si="99"/>
        <v>151.4</v>
      </c>
      <c r="AB439" s="58">
        <v>2018</v>
      </c>
      <c r="AC439" s="9"/>
      <c r="AD439" s="101"/>
      <c r="AE439" s="101"/>
    </row>
    <row r="440" spans="1:31" ht="15.6" hidden="1" customHeight="1" x14ac:dyDescent="0.25">
      <c r="A440" s="54" t="s">
        <v>18</v>
      </c>
      <c r="B440" s="54" t="s">
        <v>18</v>
      </c>
      <c r="C440" s="54" t="s">
        <v>25</v>
      </c>
      <c r="D440" s="54" t="s">
        <v>18</v>
      </c>
      <c r="E440" s="54" t="s">
        <v>21</v>
      </c>
      <c r="F440" s="54" t="s">
        <v>18</v>
      </c>
      <c r="G440" s="54" t="s">
        <v>22</v>
      </c>
      <c r="H440" s="54" t="s">
        <v>19</v>
      </c>
      <c r="I440" s="54" t="s">
        <v>24</v>
      </c>
      <c r="J440" s="54" t="s">
        <v>18</v>
      </c>
      <c r="K440" s="54" t="s">
        <v>18</v>
      </c>
      <c r="L440" s="54" t="s">
        <v>20</v>
      </c>
      <c r="M440" s="54" t="s">
        <v>37</v>
      </c>
      <c r="N440" s="54" t="s">
        <v>18</v>
      </c>
      <c r="O440" s="54" t="s">
        <v>24</v>
      </c>
      <c r="P440" s="54" t="s">
        <v>22</v>
      </c>
      <c r="Q440" s="54" t="s">
        <v>39</v>
      </c>
      <c r="R440" s="165"/>
      <c r="S440" s="63" t="s">
        <v>0</v>
      </c>
      <c r="T440" s="1">
        <v>275.2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59">
        <f t="shared" si="99"/>
        <v>275.2</v>
      </c>
      <c r="AB440" s="58">
        <v>2018</v>
      </c>
      <c r="AC440" s="9"/>
      <c r="AD440" s="101"/>
      <c r="AE440" s="101"/>
    </row>
    <row r="441" spans="1:31" ht="31.15" hidden="1" customHeight="1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80" t="s">
        <v>232</v>
      </c>
      <c r="S441" s="84" t="s">
        <v>8</v>
      </c>
      <c r="T441" s="44">
        <v>1</v>
      </c>
      <c r="U441" s="44">
        <v>0</v>
      </c>
      <c r="V441" s="44">
        <v>0</v>
      </c>
      <c r="W441" s="44">
        <v>0</v>
      </c>
      <c r="X441" s="44">
        <v>0</v>
      </c>
      <c r="Y441" s="44">
        <v>0</v>
      </c>
      <c r="Z441" s="44"/>
      <c r="AA441" s="49">
        <f t="shared" si="99"/>
        <v>1</v>
      </c>
      <c r="AB441" s="41">
        <v>2018</v>
      </c>
      <c r="AC441" s="9"/>
      <c r="AD441" s="101"/>
      <c r="AE441" s="101"/>
    </row>
    <row r="442" spans="1:31" ht="15.6" hidden="1" customHeight="1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165" t="s">
        <v>233</v>
      </c>
      <c r="S442" s="63" t="s">
        <v>0</v>
      </c>
      <c r="T442" s="1">
        <f>SUM(T443:T446)</f>
        <v>960.80000000000007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99"/>
        <v>960.80000000000007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19</v>
      </c>
      <c r="N443" s="54" t="s">
        <v>18</v>
      </c>
      <c r="O443" s="54" t="s">
        <v>24</v>
      </c>
      <c r="P443" s="54" t="s">
        <v>22</v>
      </c>
      <c r="Q443" s="54" t="s">
        <v>45</v>
      </c>
      <c r="R443" s="165"/>
      <c r="S443" s="63" t="s">
        <v>0</v>
      </c>
      <c r="T443" s="1">
        <v>384.3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99"/>
        <v>384.3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65"/>
      <c r="S444" s="63" t="s">
        <v>0</v>
      </c>
      <c r="T444" s="1">
        <v>25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99"/>
        <v>25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46</v>
      </c>
      <c r="R445" s="165"/>
      <c r="S445" s="63" t="s">
        <v>0</v>
      </c>
      <c r="T445" s="1">
        <v>212.4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99"/>
        <v>212.4</v>
      </c>
      <c r="AB445" s="58">
        <v>2018</v>
      </c>
      <c r="AC445" s="9"/>
      <c r="AD445" s="101"/>
      <c r="AE445" s="101"/>
    </row>
    <row r="446" spans="1:31" ht="15.6" hidden="1" customHeight="1" x14ac:dyDescent="0.25">
      <c r="A446" s="54" t="s">
        <v>18</v>
      </c>
      <c r="B446" s="54" t="s">
        <v>18</v>
      </c>
      <c r="C446" s="54" t="s">
        <v>25</v>
      </c>
      <c r="D446" s="54" t="s">
        <v>18</v>
      </c>
      <c r="E446" s="54" t="s">
        <v>21</v>
      </c>
      <c r="F446" s="54" t="s">
        <v>18</v>
      </c>
      <c r="G446" s="54" t="s">
        <v>22</v>
      </c>
      <c r="H446" s="54" t="s">
        <v>19</v>
      </c>
      <c r="I446" s="54" t="s">
        <v>24</v>
      </c>
      <c r="J446" s="54" t="s">
        <v>18</v>
      </c>
      <c r="K446" s="54" t="s">
        <v>18</v>
      </c>
      <c r="L446" s="54" t="s">
        <v>20</v>
      </c>
      <c r="M446" s="54" t="s">
        <v>37</v>
      </c>
      <c r="N446" s="54" t="s">
        <v>18</v>
      </c>
      <c r="O446" s="54" t="s">
        <v>24</v>
      </c>
      <c r="P446" s="54" t="s">
        <v>22</v>
      </c>
      <c r="Q446" s="54" t="s">
        <v>39</v>
      </c>
      <c r="R446" s="165"/>
      <c r="S446" s="63" t="s">
        <v>0</v>
      </c>
      <c r="T446" s="1">
        <v>339.1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59">
        <f t="shared" si="99"/>
        <v>339.1</v>
      </c>
      <c r="AB446" s="58">
        <v>2018</v>
      </c>
      <c r="AC446" s="9"/>
      <c r="AD446" s="101"/>
      <c r="AE446" s="101"/>
    </row>
    <row r="447" spans="1:31" ht="31.15" hidden="1" customHeight="1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80" t="s">
        <v>234</v>
      </c>
      <c r="S447" s="84" t="s">
        <v>168</v>
      </c>
      <c r="T447" s="3">
        <v>78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/>
      <c r="AA447" s="6">
        <f t="shared" si="99"/>
        <v>78</v>
      </c>
      <c r="AB447" s="41">
        <v>2018</v>
      </c>
      <c r="AC447" s="9"/>
      <c r="AD447" s="101"/>
      <c r="AE447" s="101"/>
    </row>
    <row r="448" spans="1:31" ht="15.6" hidden="1" customHeight="1" x14ac:dyDescent="0.2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165" t="s">
        <v>235</v>
      </c>
      <c r="S448" s="63" t="s">
        <v>0</v>
      </c>
      <c r="T448" s="1">
        <f>SUM(T449:T452)</f>
        <v>301.2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99"/>
        <v>301.2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19</v>
      </c>
      <c r="N449" s="54" t="s">
        <v>18</v>
      </c>
      <c r="O449" s="54" t="s">
        <v>24</v>
      </c>
      <c r="P449" s="54" t="s">
        <v>22</v>
      </c>
      <c r="Q449" s="54" t="s">
        <v>45</v>
      </c>
      <c r="R449" s="165"/>
      <c r="S449" s="63" t="s">
        <v>0</v>
      </c>
      <c r="T449" s="1">
        <v>114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99"/>
        <v>114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65"/>
      <c r="S450" s="63" t="s">
        <v>0</v>
      </c>
      <c r="T450" s="1">
        <v>10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99"/>
        <v>10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46</v>
      </c>
      <c r="R451" s="165"/>
      <c r="S451" s="63" t="s">
        <v>0</v>
      </c>
      <c r="T451" s="1">
        <v>63.2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99"/>
        <v>63.2</v>
      </c>
      <c r="AB451" s="58">
        <v>2018</v>
      </c>
      <c r="AC451" s="9"/>
      <c r="AD451" s="101"/>
      <c r="AE451" s="101"/>
    </row>
    <row r="452" spans="1:31" ht="15.6" hidden="1" customHeight="1" x14ac:dyDescent="0.25">
      <c r="A452" s="54" t="s">
        <v>18</v>
      </c>
      <c r="B452" s="54" t="s">
        <v>18</v>
      </c>
      <c r="C452" s="54" t="s">
        <v>25</v>
      </c>
      <c r="D452" s="54" t="s">
        <v>18</v>
      </c>
      <c r="E452" s="54" t="s">
        <v>21</v>
      </c>
      <c r="F452" s="54" t="s">
        <v>18</v>
      </c>
      <c r="G452" s="54" t="s">
        <v>22</v>
      </c>
      <c r="H452" s="54" t="s">
        <v>19</v>
      </c>
      <c r="I452" s="54" t="s">
        <v>24</v>
      </c>
      <c r="J452" s="54" t="s">
        <v>18</v>
      </c>
      <c r="K452" s="54" t="s">
        <v>18</v>
      </c>
      <c r="L452" s="54" t="s">
        <v>20</v>
      </c>
      <c r="M452" s="54" t="s">
        <v>37</v>
      </c>
      <c r="N452" s="54" t="s">
        <v>18</v>
      </c>
      <c r="O452" s="54" t="s">
        <v>24</v>
      </c>
      <c r="P452" s="54" t="s">
        <v>22</v>
      </c>
      <c r="Q452" s="54" t="s">
        <v>39</v>
      </c>
      <c r="R452" s="165"/>
      <c r="S452" s="63" t="s">
        <v>0</v>
      </c>
      <c r="T452" s="1">
        <v>114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59">
        <f t="shared" si="99"/>
        <v>114</v>
      </c>
      <c r="AB452" s="58">
        <v>2018</v>
      </c>
      <c r="AC452" s="9"/>
      <c r="AD452" s="101"/>
      <c r="AE452" s="101"/>
    </row>
    <row r="453" spans="1:31" ht="45" hidden="1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80" t="s">
        <v>236</v>
      </c>
      <c r="S453" s="84" t="s">
        <v>50</v>
      </c>
      <c r="T453" s="44">
        <v>12</v>
      </c>
      <c r="U453" s="44">
        <v>0</v>
      </c>
      <c r="V453" s="44">
        <v>0</v>
      </c>
      <c r="W453" s="44">
        <v>0</v>
      </c>
      <c r="X453" s="44">
        <v>0</v>
      </c>
      <c r="Y453" s="44">
        <v>0</v>
      </c>
      <c r="Z453" s="44"/>
      <c r="AA453" s="49">
        <f t="shared" si="99"/>
        <v>12</v>
      </c>
      <c r="AB453" s="41">
        <v>2018</v>
      </c>
      <c r="AC453" s="9"/>
      <c r="AD453" s="101"/>
      <c r="AE453" s="101"/>
    </row>
    <row r="454" spans="1:31" ht="15.6" hidden="1" customHeight="1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165" t="s">
        <v>237</v>
      </c>
      <c r="S454" s="63" t="s">
        <v>0</v>
      </c>
      <c r="T454" s="1">
        <f>SUM(T455:T458)</f>
        <v>465.4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99"/>
        <v>465.4</v>
      </c>
      <c r="AB454" s="58">
        <v>2018</v>
      </c>
      <c r="AC454" s="9"/>
      <c r="AD454" s="101"/>
      <c r="AE454" s="101"/>
    </row>
    <row r="455" spans="1:31" ht="15.6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19</v>
      </c>
      <c r="N455" s="54" t="s">
        <v>18</v>
      </c>
      <c r="O455" s="54" t="s">
        <v>24</v>
      </c>
      <c r="P455" s="54" t="s">
        <v>22</v>
      </c>
      <c r="Q455" s="54" t="s">
        <v>45</v>
      </c>
      <c r="R455" s="165"/>
      <c r="S455" s="63" t="s">
        <v>0</v>
      </c>
      <c r="T455" s="1">
        <v>178.8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99"/>
        <v>178.8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46</v>
      </c>
      <c r="R456" s="165"/>
      <c r="S456" s="63" t="s">
        <v>0</v>
      </c>
      <c r="T456" s="1">
        <v>10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99"/>
        <v>10</v>
      </c>
      <c r="AB456" s="58">
        <v>2018</v>
      </c>
      <c r="AC456" s="9"/>
      <c r="AD456" s="101"/>
      <c r="AE456" s="101"/>
    </row>
    <row r="457" spans="1:31" ht="15.6" hidden="1" customHeight="1" x14ac:dyDescent="0.25">
      <c r="A457" s="54" t="s">
        <v>18</v>
      </c>
      <c r="B457" s="54" t="s">
        <v>18</v>
      </c>
      <c r="C457" s="54" t="s">
        <v>25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18</v>
      </c>
      <c r="L457" s="54" t="s">
        <v>20</v>
      </c>
      <c r="M457" s="54" t="s">
        <v>37</v>
      </c>
      <c r="N457" s="54" t="s">
        <v>18</v>
      </c>
      <c r="O457" s="54" t="s">
        <v>24</v>
      </c>
      <c r="P457" s="54" t="s">
        <v>22</v>
      </c>
      <c r="Q457" s="54" t="s">
        <v>46</v>
      </c>
      <c r="R457" s="165"/>
      <c r="S457" s="63" t="s">
        <v>0</v>
      </c>
      <c r="T457" s="1">
        <v>97.7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59">
        <f t="shared" si="99"/>
        <v>97.7</v>
      </c>
      <c r="AB457" s="58">
        <v>2018</v>
      </c>
      <c r="AC457" s="9"/>
      <c r="AD457" s="101"/>
      <c r="AE457" s="101"/>
    </row>
    <row r="458" spans="1:31" ht="15.6" hidden="1" customHeight="1" x14ac:dyDescent="0.25">
      <c r="A458" s="54" t="s">
        <v>18</v>
      </c>
      <c r="B458" s="54" t="s">
        <v>18</v>
      </c>
      <c r="C458" s="54" t="s">
        <v>25</v>
      </c>
      <c r="D458" s="54" t="s">
        <v>18</v>
      </c>
      <c r="E458" s="54" t="s">
        <v>21</v>
      </c>
      <c r="F458" s="54" t="s">
        <v>18</v>
      </c>
      <c r="G458" s="54" t="s">
        <v>22</v>
      </c>
      <c r="H458" s="54" t="s">
        <v>19</v>
      </c>
      <c r="I458" s="54" t="s">
        <v>24</v>
      </c>
      <c r="J458" s="54" t="s">
        <v>18</v>
      </c>
      <c r="K458" s="54" t="s">
        <v>18</v>
      </c>
      <c r="L458" s="54" t="s">
        <v>20</v>
      </c>
      <c r="M458" s="54" t="s">
        <v>37</v>
      </c>
      <c r="N458" s="54" t="s">
        <v>18</v>
      </c>
      <c r="O458" s="54" t="s">
        <v>24</v>
      </c>
      <c r="P458" s="54" t="s">
        <v>22</v>
      </c>
      <c r="Q458" s="54" t="s">
        <v>39</v>
      </c>
      <c r="R458" s="165"/>
      <c r="S458" s="63" t="s">
        <v>0</v>
      </c>
      <c r="T458" s="1">
        <v>178.9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99"/>
        <v>178.9</v>
      </c>
      <c r="AB458" s="58">
        <v>2018</v>
      </c>
      <c r="AC458" s="9"/>
      <c r="AD458" s="101"/>
      <c r="AE458" s="101"/>
    </row>
    <row r="459" spans="1:31" ht="41.45" hidden="1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80" t="s">
        <v>238</v>
      </c>
      <c r="S459" s="84" t="s">
        <v>167</v>
      </c>
      <c r="T459" s="3">
        <v>127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/>
      <c r="AA459" s="6">
        <f t="shared" si="99"/>
        <v>127</v>
      </c>
      <c r="AB459" s="41">
        <v>2018</v>
      </c>
      <c r="AC459" s="9"/>
      <c r="AD459" s="101"/>
      <c r="AE459" s="101"/>
    </row>
    <row r="460" spans="1:31" ht="15.6" hidden="1" customHeight="1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165" t="s">
        <v>239</v>
      </c>
      <c r="S460" s="63" t="s">
        <v>0</v>
      </c>
      <c r="T460" s="1">
        <f>SUM(T461:T464)</f>
        <v>482.90000000000003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99"/>
        <v>482.90000000000003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19</v>
      </c>
      <c r="N461" s="54" t="s">
        <v>18</v>
      </c>
      <c r="O461" s="54" t="s">
        <v>24</v>
      </c>
      <c r="P461" s="54" t="s">
        <v>22</v>
      </c>
      <c r="Q461" s="54" t="s">
        <v>45</v>
      </c>
      <c r="R461" s="165"/>
      <c r="S461" s="63" t="s">
        <v>0</v>
      </c>
      <c r="T461" s="1">
        <v>193.2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99"/>
        <v>193.2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46</v>
      </c>
      <c r="R462" s="165"/>
      <c r="S462" s="63" t="s">
        <v>0</v>
      </c>
      <c r="T462" s="1">
        <v>10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99"/>
        <v>10</v>
      </c>
      <c r="AB462" s="58">
        <v>2018</v>
      </c>
      <c r="AC462" s="9"/>
      <c r="AD462" s="101"/>
      <c r="AE462" s="101"/>
    </row>
    <row r="463" spans="1:31" ht="15.6" hidden="1" customHeight="1" x14ac:dyDescent="0.25">
      <c r="A463" s="54" t="s">
        <v>18</v>
      </c>
      <c r="B463" s="54" t="s">
        <v>18</v>
      </c>
      <c r="C463" s="54" t="s">
        <v>25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18</v>
      </c>
      <c r="L463" s="54" t="s">
        <v>20</v>
      </c>
      <c r="M463" s="54" t="s">
        <v>37</v>
      </c>
      <c r="N463" s="54" t="s">
        <v>18</v>
      </c>
      <c r="O463" s="54" t="s">
        <v>24</v>
      </c>
      <c r="P463" s="54" t="s">
        <v>22</v>
      </c>
      <c r="Q463" s="54" t="s">
        <v>46</v>
      </c>
      <c r="R463" s="165"/>
      <c r="S463" s="63" t="s">
        <v>0</v>
      </c>
      <c r="T463" s="1">
        <v>101.4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/>
      <c r="AA463" s="59">
        <f t="shared" si="99"/>
        <v>101.4</v>
      </c>
      <c r="AB463" s="58">
        <v>2018</v>
      </c>
      <c r="AC463" s="9"/>
      <c r="AD463" s="101"/>
      <c r="AE463" s="101"/>
    </row>
    <row r="464" spans="1:31" ht="15.6" hidden="1" customHeight="1" x14ac:dyDescent="0.25">
      <c r="A464" s="54" t="s">
        <v>18</v>
      </c>
      <c r="B464" s="54" t="s">
        <v>18</v>
      </c>
      <c r="C464" s="54" t="s">
        <v>25</v>
      </c>
      <c r="D464" s="54" t="s">
        <v>18</v>
      </c>
      <c r="E464" s="54" t="s">
        <v>21</v>
      </c>
      <c r="F464" s="54" t="s">
        <v>18</v>
      </c>
      <c r="G464" s="54" t="s">
        <v>22</v>
      </c>
      <c r="H464" s="54" t="s">
        <v>19</v>
      </c>
      <c r="I464" s="54" t="s">
        <v>24</v>
      </c>
      <c r="J464" s="54" t="s">
        <v>18</v>
      </c>
      <c r="K464" s="54" t="s">
        <v>18</v>
      </c>
      <c r="L464" s="54" t="s">
        <v>20</v>
      </c>
      <c r="M464" s="54" t="s">
        <v>37</v>
      </c>
      <c r="N464" s="54" t="s">
        <v>18</v>
      </c>
      <c r="O464" s="54" t="s">
        <v>24</v>
      </c>
      <c r="P464" s="54" t="s">
        <v>22</v>
      </c>
      <c r="Q464" s="54" t="s">
        <v>39</v>
      </c>
      <c r="R464" s="165"/>
      <c r="S464" s="63" t="s">
        <v>0</v>
      </c>
      <c r="T464" s="1">
        <v>178.3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99"/>
        <v>178.3</v>
      </c>
      <c r="AB464" s="58">
        <v>2018</v>
      </c>
      <c r="AC464" s="9"/>
      <c r="AD464" s="101"/>
      <c r="AE464" s="101"/>
    </row>
    <row r="465" spans="1:31" ht="42" hidden="1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80" t="s">
        <v>240</v>
      </c>
      <c r="S465" s="84" t="s">
        <v>167</v>
      </c>
      <c r="T465" s="3">
        <v>131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/>
      <c r="AA465" s="6">
        <f t="shared" si="99"/>
        <v>131</v>
      </c>
      <c r="AB465" s="41">
        <v>2018</v>
      </c>
      <c r="AC465" s="9"/>
      <c r="AD465" s="101"/>
      <c r="AE465" s="101"/>
    </row>
    <row r="466" spans="1:31" ht="18.75" hidden="1" customHeight="1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165" t="s">
        <v>241</v>
      </c>
      <c r="S466" s="63" t="s">
        <v>0</v>
      </c>
      <c r="T466" s="1">
        <f>SUM(T467:T469)</f>
        <v>880.6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99"/>
        <v>880.6</v>
      </c>
      <c r="AB466" s="58">
        <v>2018</v>
      </c>
      <c r="AC466" s="9"/>
      <c r="AD466" s="101"/>
      <c r="AE466" s="101"/>
    </row>
    <row r="467" spans="1:31" ht="18.75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19</v>
      </c>
      <c r="N467" s="54" t="s">
        <v>18</v>
      </c>
      <c r="O467" s="54" t="s">
        <v>24</v>
      </c>
      <c r="P467" s="54" t="s">
        <v>22</v>
      </c>
      <c r="Q467" s="54" t="s">
        <v>45</v>
      </c>
      <c r="R467" s="165"/>
      <c r="S467" s="63" t="s">
        <v>0</v>
      </c>
      <c r="T467" s="1">
        <v>352.2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99"/>
        <v>352.2</v>
      </c>
      <c r="AB467" s="58">
        <v>2018</v>
      </c>
      <c r="AC467" s="9"/>
      <c r="AD467" s="101"/>
      <c r="AE467" s="101"/>
    </row>
    <row r="468" spans="1:31" ht="18.75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46</v>
      </c>
      <c r="R468" s="165"/>
      <c r="S468" s="63" t="s">
        <v>0</v>
      </c>
      <c r="T468" s="1">
        <v>140.9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99"/>
        <v>140.9</v>
      </c>
      <c r="AB468" s="58">
        <v>2018</v>
      </c>
      <c r="AC468" s="9"/>
      <c r="AD468" s="101"/>
      <c r="AE468" s="101"/>
    </row>
    <row r="469" spans="1:31" ht="18.75" hidden="1" customHeight="1" x14ac:dyDescent="0.25">
      <c r="A469" s="54" t="s">
        <v>18</v>
      </c>
      <c r="B469" s="54" t="s">
        <v>18</v>
      </c>
      <c r="C469" s="54" t="s">
        <v>25</v>
      </c>
      <c r="D469" s="54" t="s">
        <v>18</v>
      </c>
      <c r="E469" s="54" t="s">
        <v>21</v>
      </c>
      <c r="F469" s="54" t="s">
        <v>18</v>
      </c>
      <c r="G469" s="54" t="s">
        <v>22</v>
      </c>
      <c r="H469" s="54" t="s">
        <v>19</v>
      </c>
      <c r="I469" s="54" t="s">
        <v>24</v>
      </c>
      <c r="J469" s="54" t="s">
        <v>18</v>
      </c>
      <c r="K469" s="54" t="s">
        <v>18</v>
      </c>
      <c r="L469" s="54" t="s">
        <v>20</v>
      </c>
      <c r="M469" s="54" t="s">
        <v>37</v>
      </c>
      <c r="N469" s="54" t="s">
        <v>18</v>
      </c>
      <c r="O469" s="54" t="s">
        <v>24</v>
      </c>
      <c r="P469" s="54" t="s">
        <v>22</v>
      </c>
      <c r="Q469" s="54" t="s">
        <v>39</v>
      </c>
      <c r="R469" s="165"/>
      <c r="S469" s="63" t="s">
        <v>0</v>
      </c>
      <c r="T469" s="1">
        <v>387.5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/>
      <c r="AA469" s="59">
        <f t="shared" si="99"/>
        <v>387.5</v>
      </c>
      <c r="AB469" s="58">
        <v>2018</v>
      </c>
      <c r="AC469" s="9"/>
      <c r="AD469" s="101"/>
      <c r="AE469" s="101"/>
    </row>
    <row r="470" spans="1:31" ht="46.15" hidden="1" customHeight="1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78" t="s">
        <v>242</v>
      </c>
      <c r="S470" s="84" t="s">
        <v>167</v>
      </c>
      <c r="T470" s="3">
        <v>600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/>
      <c r="AA470" s="6">
        <f t="shared" si="99"/>
        <v>600</v>
      </c>
      <c r="AB470" s="41">
        <v>2018</v>
      </c>
      <c r="AC470" s="9"/>
      <c r="AD470" s="101"/>
      <c r="AE470" s="101"/>
    </row>
    <row r="471" spans="1:31" ht="15.6" hidden="1" customHeight="1" x14ac:dyDescent="0.2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165" t="s">
        <v>243</v>
      </c>
      <c r="S471" s="63" t="s">
        <v>0</v>
      </c>
      <c r="T471" s="1">
        <f>SUM(T472:T475)</f>
        <v>293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/>
      <c r="AA471" s="59">
        <f t="shared" si="99"/>
        <v>293</v>
      </c>
      <c r="AB471" s="58">
        <v>2018</v>
      </c>
      <c r="AC471" s="9"/>
      <c r="AD471" s="101"/>
      <c r="AE471" s="101"/>
    </row>
    <row r="472" spans="1:31" ht="15.6" hidden="1" customHeight="1" x14ac:dyDescent="0.25">
      <c r="A472" s="54" t="s">
        <v>18</v>
      </c>
      <c r="B472" s="54" t="s">
        <v>18</v>
      </c>
      <c r="C472" s="54" t="s">
        <v>25</v>
      </c>
      <c r="D472" s="54" t="s">
        <v>18</v>
      </c>
      <c r="E472" s="54" t="s">
        <v>21</v>
      </c>
      <c r="F472" s="54" t="s">
        <v>18</v>
      </c>
      <c r="G472" s="54" t="s">
        <v>22</v>
      </c>
      <c r="H472" s="54" t="s">
        <v>19</v>
      </c>
      <c r="I472" s="54" t="s">
        <v>24</v>
      </c>
      <c r="J472" s="54" t="s">
        <v>18</v>
      </c>
      <c r="K472" s="54" t="s">
        <v>18</v>
      </c>
      <c r="L472" s="54" t="s">
        <v>20</v>
      </c>
      <c r="M472" s="54" t="s">
        <v>19</v>
      </c>
      <c r="N472" s="54" t="s">
        <v>18</v>
      </c>
      <c r="O472" s="54" t="s">
        <v>24</v>
      </c>
      <c r="P472" s="54" t="s">
        <v>22</v>
      </c>
      <c r="Q472" s="54" t="s">
        <v>45</v>
      </c>
      <c r="R472" s="165"/>
      <c r="S472" s="63" t="s">
        <v>0</v>
      </c>
      <c r="T472" s="1">
        <v>117.2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  <c r="AA472" s="59">
        <f t="shared" si="99"/>
        <v>117.2</v>
      </c>
      <c r="AB472" s="58">
        <v>2018</v>
      </c>
      <c r="AC472" s="9"/>
      <c r="AD472" s="101"/>
      <c r="AE472" s="101"/>
    </row>
    <row r="473" spans="1:31" ht="15.6" hidden="1" customHeight="1" x14ac:dyDescent="0.25">
      <c r="A473" s="54" t="s">
        <v>18</v>
      </c>
      <c r="B473" s="54" t="s">
        <v>18</v>
      </c>
      <c r="C473" s="54" t="s">
        <v>25</v>
      </c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18</v>
      </c>
      <c r="L473" s="54" t="s">
        <v>20</v>
      </c>
      <c r="M473" s="54" t="s">
        <v>37</v>
      </c>
      <c r="N473" s="54" t="s">
        <v>18</v>
      </c>
      <c r="O473" s="54" t="s">
        <v>24</v>
      </c>
      <c r="P473" s="54" t="s">
        <v>22</v>
      </c>
      <c r="Q473" s="54" t="s">
        <v>46</v>
      </c>
      <c r="R473" s="165"/>
      <c r="S473" s="63" t="s">
        <v>0</v>
      </c>
      <c r="T473" s="1">
        <v>22.6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99"/>
        <v>22.6</v>
      </c>
      <c r="AB473" s="58">
        <v>2018</v>
      </c>
      <c r="AC473" s="9"/>
      <c r="AD473" s="101"/>
      <c r="AE473" s="101"/>
    </row>
    <row r="474" spans="1:31" ht="15.6" hidden="1" customHeight="1" x14ac:dyDescent="0.25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37</v>
      </c>
      <c r="N474" s="54" t="s">
        <v>18</v>
      </c>
      <c r="O474" s="54" t="s">
        <v>24</v>
      </c>
      <c r="P474" s="54" t="s">
        <v>22</v>
      </c>
      <c r="Q474" s="54" t="s">
        <v>46</v>
      </c>
      <c r="R474" s="165"/>
      <c r="S474" s="63" t="s">
        <v>0</v>
      </c>
      <c r="T474" s="1">
        <v>61.5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99"/>
        <v>61.5</v>
      </c>
      <c r="AB474" s="58">
        <v>2018</v>
      </c>
      <c r="AC474" s="9"/>
      <c r="AD474" s="101"/>
      <c r="AE474" s="101"/>
    </row>
    <row r="475" spans="1:31" ht="15.6" hidden="1" customHeight="1" x14ac:dyDescent="0.25">
      <c r="A475" s="54" t="s">
        <v>18</v>
      </c>
      <c r="B475" s="54" t="s">
        <v>18</v>
      </c>
      <c r="C475" s="54" t="s">
        <v>25</v>
      </c>
      <c r="D475" s="54" t="s">
        <v>18</v>
      </c>
      <c r="E475" s="54" t="s">
        <v>21</v>
      </c>
      <c r="F475" s="54" t="s">
        <v>18</v>
      </c>
      <c r="G475" s="54" t="s">
        <v>22</v>
      </c>
      <c r="H475" s="54" t="s">
        <v>19</v>
      </c>
      <c r="I475" s="54" t="s">
        <v>24</v>
      </c>
      <c r="J475" s="54" t="s">
        <v>18</v>
      </c>
      <c r="K475" s="54" t="s">
        <v>18</v>
      </c>
      <c r="L475" s="54" t="s">
        <v>20</v>
      </c>
      <c r="M475" s="54" t="s">
        <v>37</v>
      </c>
      <c r="N475" s="54" t="s">
        <v>18</v>
      </c>
      <c r="O475" s="54" t="s">
        <v>24</v>
      </c>
      <c r="P475" s="54" t="s">
        <v>22</v>
      </c>
      <c r="Q475" s="54" t="s">
        <v>39</v>
      </c>
      <c r="R475" s="165"/>
      <c r="S475" s="63" t="s">
        <v>0</v>
      </c>
      <c r="T475" s="1">
        <v>91.7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/>
      <c r="AA475" s="59">
        <f t="shared" si="99"/>
        <v>91.7</v>
      </c>
      <c r="AB475" s="58">
        <v>2018</v>
      </c>
      <c r="AC475" s="9"/>
      <c r="AD475" s="101"/>
      <c r="AE475" s="101"/>
    </row>
    <row r="476" spans="1:31" ht="31.15" hidden="1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80" t="s">
        <v>244</v>
      </c>
      <c r="S476" s="84" t="s">
        <v>168</v>
      </c>
      <c r="T476" s="3">
        <v>126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/>
      <c r="AA476" s="6">
        <f t="shared" si="99"/>
        <v>126</v>
      </c>
      <c r="AB476" s="41">
        <v>2018</v>
      </c>
      <c r="AC476" s="9"/>
      <c r="AD476" s="101"/>
      <c r="AE476" s="101"/>
    </row>
    <row r="477" spans="1:31" ht="15.6" hidden="1" customHeight="1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165" t="s">
        <v>245</v>
      </c>
      <c r="S477" s="63" t="s">
        <v>0</v>
      </c>
      <c r="T477" s="1">
        <f>SUM(T478:T481)</f>
        <v>470.59999999999997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/>
      <c r="AA477" s="59">
        <f t="shared" si="99"/>
        <v>470.59999999999997</v>
      </c>
      <c r="AB477" s="58">
        <v>2018</v>
      </c>
      <c r="AC477" s="9"/>
      <c r="AD477" s="101"/>
      <c r="AE477" s="101"/>
    </row>
    <row r="478" spans="1:31" ht="15.6" hidden="1" customHeight="1" x14ac:dyDescent="0.25">
      <c r="A478" s="54" t="s">
        <v>18</v>
      </c>
      <c r="B478" s="54" t="s">
        <v>18</v>
      </c>
      <c r="C478" s="54" t="s">
        <v>25</v>
      </c>
      <c r="D478" s="54" t="s">
        <v>18</v>
      </c>
      <c r="E478" s="54" t="s">
        <v>21</v>
      </c>
      <c r="F478" s="54" t="s">
        <v>18</v>
      </c>
      <c r="G478" s="54" t="s">
        <v>22</v>
      </c>
      <c r="H478" s="54" t="s">
        <v>19</v>
      </c>
      <c r="I478" s="54" t="s">
        <v>24</v>
      </c>
      <c r="J478" s="54" t="s">
        <v>18</v>
      </c>
      <c r="K478" s="54" t="s">
        <v>18</v>
      </c>
      <c r="L478" s="54" t="s">
        <v>20</v>
      </c>
      <c r="M478" s="54" t="s">
        <v>19</v>
      </c>
      <c r="N478" s="54" t="s">
        <v>18</v>
      </c>
      <c r="O478" s="54" t="s">
        <v>24</v>
      </c>
      <c r="P478" s="54" t="s">
        <v>22</v>
      </c>
      <c r="Q478" s="54" t="s">
        <v>45</v>
      </c>
      <c r="R478" s="165"/>
      <c r="S478" s="63" t="s">
        <v>0</v>
      </c>
      <c r="T478" s="1">
        <v>188.2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99"/>
        <v>188.2</v>
      </c>
      <c r="AB478" s="58">
        <v>2018</v>
      </c>
      <c r="AC478" s="9"/>
      <c r="AD478" s="101"/>
      <c r="AE478" s="101"/>
    </row>
    <row r="479" spans="1:31" ht="15.6" hidden="1" customHeight="1" x14ac:dyDescent="0.25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37</v>
      </c>
      <c r="N479" s="54" t="s">
        <v>18</v>
      </c>
      <c r="O479" s="54" t="s">
        <v>24</v>
      </c>
      <c r="P479" s="54" t="s">
        <v>22</v>
      </c>
      <c r="Q479" s="54" t="s">
        <v>46</v>
      </c>
      <c r="R479" s="165"/>
      <c r="S479" s="63" t="s">
        <v>0</v>
      </c>
      <c r="T479" s="1">
        <v>35.1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99"/>
        <v>35.1</v>
      </c>
      <c r="AB479" s="58">
        <v>2018</v>
      </c>
      <c r="AC479" s="9"/>
      <c r="AD479" s="101"/>
      <c r="AE479" s="101"/>
    </row>
    <row r="480" spans="1:31" ht="15.6" hidden="1" customHeight="1" x14ac:dyDescent="0.25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46</v>
      </c>
      <c r="R480" s="165"/>
      <c r="S480" s="63" t="s">
        <v>0</v>
      </c>
      <c r="T480" s="1">
        <v>98.8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99"/>
        <v>98.8</v>
      </c>
      <c r="AB480" s="58">
        <v>2018</v>
      </c>
      <c r="AC480" s="9"/>
      <c r="AD480" s="101"/>
      <c r="AE480" s="101"/>
    </row>
    <row r="481" spans="1:31" ht="15.6" hidden="1" customHeight="1" x14ac:dyDescent="0.25">
      <c r="A481" s="54" t="s">
        <v>18</v>
      </c>
      <c r="B481" s="54" t="s">
        <v>18</v>
      </c>
      <c r="C481" s="54" t="s">
        <v>25</v>
      </c>
      <c r="D481" s="54" t="s">
        <v>18</v>
      </c>
      <c r="E481" s="54" t="s">
        <v>21</v>
      </c>
      <c r="F481" s="54" t="s">
        <v>18</v>
      </c>
      <c r="G481" s="54" t="s">
        <v>22</v>
      </c>
      <c r="H481" s="54" t="s">
        <v>19</v>
      </c>
      <c r="I481" s="54" t="s">
        <v>24</v>
      </c>
      <c r="J481" s="54" t="s">
        <v>18</v>
      </c>
      <c r="K481" s="54" t="s">
        <v>18</v>
      </c>
      <c r="L481" s="54" t="s">
        <v>20</v>
      </c>
      <c r="M481" s="54" t="s">
        <v>37</v>
      </c>
      <c r="N481" s="54" t="s">
        <v>18</v>
      </c>
      <c r="O481" s="54" t="s">
        <v>24</v>
      </c>
      <c r="P481" s="54" t="s">
        <v>22</v>
      </c>
      <c r="Q481" s="54" t="s">
        <v>39</v>
      </c>
      <c r="R481" s="165"/>
      <c r="S481" s="63" t="s">
        <v>0</v>
      </c>
      <c r="T481" s="1">
        <v>148.5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/>
      <c r="AA481" s="59">
        <f t="shared" si="99"/>
        <v>148.5</v>
      </c>
      <c r="AB481" s="58">
        <v>2018</v>
      </c>
      <c r="AC481" s="9"/>
      <c r="AD481" s="101"/>
      <c r="AE481" s="101"/>
    </row>
    <row r="482" spans="1:31" ht="31.15" hidden="1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80" t="s">
        <v>246</v>
      </c>
      <c r="S482" s="84" t="s">
        <v>167</v>
      </c>
      <c r="T482" s="3">
        <v>131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/>
      <c r="AA482" s="6">
        <f t="shared" si="99"/>
        <v>131</v>
      </c>
      <c r="AB482" s="41">
        <v>2018</v>
      </c>
      <c r="AC482" s="9"/>
      <c r="AD482" s="101"/>
      <c r="AE482" s="101"/>
    </row>
    <row r="483" spans="1:31" ht="15.6" hidden="1" customHeight="1" x14ac:dyDescent="0.2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165" t="s">
        <v>247</v>
      </c>
      <c r="S483" s="63" t="s">
        <v>0</v>
      </c>
      <c r="T483" s="1">
        <f>SUM(T484:T487)</f>
        <v>879.8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/>
      <c r="AA483" s="59">
        <f t="shared" si="99"/>
        <v>879.8</v>
      </c>
      <c r="AB483" s="58">
        <v>2018</v>
      </c>
      <c r="AC483" s="9"/>
      <c r="AD483" s="101"/>
      <c r="AE483" s="101"/>
    </row>
    <row r="484" spans="1:31" ht="15.6" hidden="1" customHeight="1" x14ac:dyDescent="0.25">
      <c r="A484" s="54" t="s">
        <v>18</v>
      </c>
      <c r="B484" s="54" t="s">
        <v>18</v>
      </c>
      <c r="C484" s="54" t="s">
        <v>25</v>
      </c>
      <c r="D484" s="54" t="s">
        <v>18</v>
      </c>
      <c r="E484" s="54" t="s">
        <v>21</v>
      </c>
      <c r="F484" s="54" t="s">
        <v>18</v>
      </c>
      <c r="G484" s="54" t="s">
        <v>22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20</v>
      </c>
      <c r="M484" s="54" t="s">
        <v>19</v>
      </c>
      <c r="N484" s="54" t="s">
        <v>18</v>
      </c>
      <c r="O484" s="54" t="s">
        <v>24</v>
      </c>
      <c r="P484" s="54" t="s">
        <v>22</v>
      </c>
      <c r="Q484" s="54" t="s">
        <v>45</v>
      </c>
      <c r="R484" s="165"/>
      <c r="S484" s="63" t="s">
        <v>0</v>
      </c>
      <c r="T484" s="1">
        <v>350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  <c r="AA484" s="59">
        <f t="shared" si="99"/>
        <v>350</v>
      </c>
      <c r="AB484" s="58">
        <v>2018</v>
      </c>
      <c r="AC484" s="9"/>
      <c r="AD484" s="101"/>
      <c r="AE484" s="101"/>
    </row>
    <row r="485" spans="1:31" ht="15.6" hidden="1" customHeight="1" x14ac:dyDescent="0.25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18</v>
      </c>
      <c r="L485" s="54" t="s">
        <v>20</v>
      </c>
      <c r="M485" s="54" t="s">
        <v>37</v>
      </c>
      <c r="N485" s="54" t="s">
        <v>18</v>
      </c>
      <c r="O485" s="54" t="s">
        <v>24</v>
      </c>
      <c r="P485" s="54" t="s">
        <v>22</v>
      </c>
      <c r="Q485" s="54" t="s">
        <v>46</v>
      </c>
      <c r="R485" s="165"/>
      <c r="S485" s="63" t="s">
        <v>0</v>
      </c>
      <c r="T485" s="1">
        <v>10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  <c r="AA485" s="59">
        <f t="shared" si="99"/>
        <v>10</v>
      </c>
      <c r="AB485" s="58">
        <v>2018</v>
      </c>
      <c r="AC485" s="9"/>
      <c r="AD485" s="101"/>
      <c r="AE485" s="101"/>
    </row>
    <row r="486" spans="1:31" ht="15.6" hidden="1" customHeight="1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18</v>
      </c>
      <c r="L486" s="54" t="s">
        <v>20</v>
      </c>
      <c r="M486" s="54" t="s">
        <v>37</v>
      </c>
      <c r="N486" s="54" t="s">
        <v>18</v>
      </c>
      <c r="O486" s="54" t="s">
        <v>24</v>
      </c>
      <c r="P486" s="54" t="s">
        <v>22</v>
      </c>
      <c r="Q486" s="54" t="s">
        <v>46</v>
      </c>
      <c r="R486" s="165"/>
      <c r="S486" s="63" t="s">
        <v>0</v>
      </c>
      <c r="T486" s="1">
        <v>141.69999999999999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  <c r="AA486" s="59">
        <f t="shared" si="99"/>
        <v>141.69999999999999</v>
      </c>
      <c r="AB486" s="58">
        <v>2018</v>
      </c>
      <c r="AC486" s="9"/>
      <c r="AD486" s="101"/>
      <c r="AE486" s="101"/>
    </row>
    <row r="487" spans="1:31" ht="15.6" hidden="1" customHeight="1" x14ac:dyDescent="0.25">
      <c r="A487" s="54" t="s">
        <v>18</v>
      </c>
      <c r="B487" s="54" t="s">
        <v>18</v>
      </c>
      <c r="C487" s="54" t="s">
        <v>25</v>
      </c>
      <c r="D487" s="54" t="s">
        <v>18</v>
      </c>
      <c r="E487" s="54" t="s">
        <v>21</v>
      </c>
      <c r="F487" s="54" t="s">
        <v>18</v>
      </c>
      <c r="G487" s="54" t="s">
        <v>22</v>
      </c>
      <c r="H487" s="54" t="s">
        <v>19</v>
      </c>
      <c r="I487" s="54" t="s">
        <v>24</v>
      </c>
      <c r="J487" s="54" t="s">
        <v>18</v>
      </c>
      <c r="K487" s="54" t="s">
        <v>18</v>
      </c>
      <c r="L487" s="54" t="s">
        <v>20</v>
      </c>
      <c r="M487" s="54" t="s">
        <v>37</v>
      </c>
      <c r="N487" s="54" t="s">
        <v>18</v>
      </c>
      <c r="O487" s="54" t="s">
        <v>24</v>
      </c>
      <c r="P487" s="54" t="s">
        <v>22</v>
      </c>
      <c r="Q487" s="54" t="s">
        <v>39</v>
      </c>
      <c r="R487" s="165"/>
      <c r="S487" s="63" t="s">
        <v>0</v>
      </c>
      <c r="T487" s="1">
        <v>378.1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/>
      <c r="AA487" s="59">
        <f t="shared" si="99"/>
        <v>378.1</v>
      </c>
      <c r="AB487" s="58">
        <v>2018</v>
      </c>
      <c r="AC487" s="9"/>
      <c r="AD487" s="101"/>
      <c r="AE487" s="101"/>
    </row>
    <row r="488" spans="1:31" ht="27.6" hidden="1" customHeight="1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90" t="s">
        <v>248</v>
      </c>
      <c r="S488" s="89" t="s">
        <v>167</v>
      </c>
      <c r="T488" s="3">
        <v>500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/>
      <c r="AA488" s="6">
        <f t="shared" si="99"/>
        <v>500</v>
      </c>
      <c r="AB488" s="41">
        <v>2018</v>
      </c>
      <c r="AC488" s="9"/>
      <c r="AD488" s="101"/>
      <c r="AE488" s="101"/>
    </row>
    <row r="489" spans="1:31" ht="17.25" hidden="1" customHeight="1" x14ac:dyDescent="0.2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165" t="s">
        <v>249</v>
      </c>
      <c r="S489" s="63" t="s">
        <v>0</v>
      </c>
      <c r="T489" s="1">
        <f>SUM(T490:T493)</f>
        <v>811.21499999999992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/>
      <c r="AA489" s="59">
        <f t="shared" si="99"/>
        <v>811.21499999999992</v>
      </c>
      <c r="AB489" s="58">
        <v>2018</v>
      </c>
      <c r="AC489" s="9"/>
      <c r="AD489" s="101"/>
      <c r="AE489" s="101"/>
    </row>
    <row r="490" spans="1:31" ht="15.6" hidden="1" customHeight="1" x14ac:dyDescent="0.25">
      <c r="A490" s="54" t="s">
        <v>18</v>
      </c>
      <c r="B490" s="54" t="s">
        <v>18</v>
      </c>
      <c r="C490" s="54" t="s">
        <v>25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18</v>
      </c>
      <c r="L490" s="54" t="s">
        <v>20</v>
      </c>
      <c r="M490" s="54" t="s">
        <v>19</v>
      </c>
      <c r="N490" s="54" t="s">
        <v>18</v>
      </c>
      <c r="O490" s="54" t="s">
        <v>24</v>
      </c>
      <c r="P490" s="54" t="s">
        <v>22</v>
      </c>
      <c r="Q490" s="54" t="s">
        <v>45</v>
      </c>
      <c r="R490" s="165"/>
      <c r="S490" s="63" t="s">
        <v>0</v>
      </c>
      <c r="T490" s="1">
        <v>324.51499999999999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/>
      <c r="AA490" s="59">
        <f t="shared" si="99"/>
        <v>324.51499999999999</v>
      </c>
      <c r="AB490" s="58">
        <v>2018</v>
      </c>
      <c r="AC490" s="9"/>
      <c r="AD490" s="101"/>
      <c r="AE490" s="101"/>
    </row>
    <row r="491" spans="1:31" ht="15.6" hidden="1" customHeight="1" x14ac:dyDescent="0.25">
      <c r="A491" s="54" t="s">
        <v>18</v>
      </c>
      <c r="B491" s="54" t="s">
        <v>18</v>
      </c>
      <c r="C491" s="54" t="s">
        <v>25</v>
      </c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18</v>
      </c>
      <c r="L491" s="54" t="s">
        <v>20</v>
      </c>
      <c r="M491" s="54" t="s">
        <v>37</v>
      </c>
      <c r="N491" s="54" t="s">
        <v>18</v>
      </c>
      <c r="O491" s="54" t="s">
        <v>24</v>
      </c>
      <c r="P491" s="54" t="s">
        <v>22</v>
      </c>
      <c r="Q491" s="54" t="s">
        <v>46</v>
      </c>
      <c r="R491" s="165"/>
      <c r="S491" s="63" t="s">
        <v>0</v>
      </c>
      <c r="T491" s="1">
        <v>15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/>
      <c r="AA491" s="59">
        <f t="shared" si="99"/>
        <v>15</v>
      </c>
      <c r="AB491" s="58">
        <v>2018</v>
      </c>
      <c r="AC491" s="9"/>
      <c r="AD491" s="101"/>
      <c r="AE491" s="101"/>
    </row>
    <row r="492" spans="1:31" ht="15.6" hidden="1" customHeight="1" x14ac:dyDescent="0.25">
      <c r="A492" s="54" t="s">
        <v>18</v>
      </c>
      <c r="B492" s="54" t="s">
        <v>18</v>
      </c>
      <c r="C492" s="54" t="s">
        <v>25</v>
      </c>
      <c r="D492" s="54" t="s">
        <v>18</v>
      </c>
      <c r="E492" s="54" t="s">
        <v>21</v>
      </c>
      <c r="F492" s="54" t="s">
        <v>18</v>
      </c>
      <c r="G492" s="54" t="s">
        <v>22</v>
      </c>
      <c r="H492" s="54" t="s">
        <v>19</v>
      </c>
      <c r="I492" s="54" t="s">
        <v>24</v>
      </c>
      <c r="J492" s="54" t="s">
        <v>18</v>
      </c>
      <c r="K492" s="54" t="s">
        <v>18</v>
      </c>
      <c r="L492" s="54" t="s">
        <v>20</v>
      </c>
      <c r="M492" s="54" t="s">
        <v>37</v>
      </c>
      <c r="N492" s="54" t="s">
        <v>18</v>
      </c>
      <c r="O492" s="54" t="s">
        <v>24</v>
      </c>
      <c r="P492" s="54" t="s">
        <v>22</v>
      </c>
      <c r="Q492" s="54" t="s">
        <v>46</v>
      </c>
      <c r="R492" s="165"/>
      <c r="S492" s="63" t="s">
        <v>0</v>
      </c>
      <c r="T492" s="1">
        <v>170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/>
      <c r="AA492" s="59">
        <f t="shared" si="99"/>
        <v>170</v>
      </c>
      <c r="AB492" s="58">
        <v>2018</v>
      </c>
      <c r="AC492" s="9"/>
      <c r="AD492" s="101"/>
      <c r="AE492" s="101"/>
    </row>
    <row r="493" spans="1:31" ht="15.6" hidden="1" customHeight="1" x14ac:dyDescent="0.25">
      <c r="A493" s="54" t="s">
        <v>18</v>
      </c>
      <c r="B493" s="54" t="s">
        <v>18</v>
      </c>
      <c r="C493" s="54" t="s">
        <v>25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18</v>
      </c>
      <c r="L493" s="54" t="s">
        <v>20</v>
      </c>
      <c r="M493" s="54" t="s">
        <v>37</v>
      </c>
      <c r="N493" s="54" t="s">
        <v>18</v>
      </c>
      <c r="O493" s="54" t="s">
        <v>24</v>
      </c>
      <c r="P493" s="54" t="s">
        <v>22</v>
      </c>
      <c r="Q493" s="54" t="s">
        <v>39</v>
      </c>
      <c r="R493" s="165"/>
      <c r="S493" s="63" t="s">
        <v>0</v>
      </c>
      <c r="T493" s="1">
        <v>301.7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/>
      <c r="AA493" s="59">
        <f t="shared" si="99"/>
        <v>301.7</v>
      </c>
      <c r="AB493" s="58">
        <v>2018</v>
      </c>
      <c r="AC493" s="9"/>
      <c r="AD493" s="101"/>
      <c r="AE493" s="101"/>
    </row>
    <row r="494" spans="1:31" ht="31.15" hidden="1" customHeight="1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80" t="s">
        <v>250</v>
      </c>
      <c r="S494" s="84" t="s">
        <v>8</v>
      </c>
      <c r="T494" s="44">
        <v>1</v>
      </c>
      <c r="U494" s="44">
        <v>0</v>
      </c>
      <c r="V494" s="44">
        <v>0</v>
      </c>
      <c r="W494" s="44">
        <v>0</v>
      </c>
      <c r="X494" s="44">
        <v>0</v>
      </c>
      <c r="Y494" s="44">
        <v>0</v>
      </c>
      <c r="Z494" s="44"/>
      <c r="AA494" s="49">
        <f t="shared" si="99"/>
        <v>1</v>
      </c>
      <c r="AB494" s="41">
        <v>2018</v>
      </c>
      <c r="AC494" s="9"/>
      <c r="AD494" s="101"/>
      <c r="AE494" s="101"/>
    </row>
    <row r="495" spans="1:31" ht="15.6" hidden="1" customHeight="1" x14ac:dyDescent="0.2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165" t="s">
        <v>251</v>
      </c>
      <c r="S495" s="63" t="s">
        <v>0</v>
      </c>
      <c r="T495" s="1">
        <f>SUM(T496:T499)</f>
        <v>1054.8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/>
      <c r="AA495" s="59">
        <f t="shared" si="99"/>
        <v>1054.8</v>
      </c>
      <c r="AB495" s="58">
        <v>2018</v>
      </c>
      <c r="AC495" s="9"/>
      <c r="AD495" s="101"/>
      <c r="AE495" s="101"/>
    </row>
    <row r="496" spans="1:31" ht="15.6" hidden="1" customHeight="1" x14ac:dyDescent="0.25">
      <c r="A496" s="54" t="s">
        <v>18</v>
      </c>
      <c r="B496" s="54" t="s">
        <v>18</v>
      </c>
      <c r="C496" s="54" t="s">
        <v>25</v>
      </c>
      <c r="D496" s="54" t="s">
        <v>18</v>
      </c>
      <c r="E496" s="54" t="s">
        <v>21</v>
      </c>
      <c r="F496" s="54" t="s">
        <v>18</v>
      </c>
      <c r="G496" s="54" t="s">
        <v>22</v>
      </c>
      <c r="H496" s="54" t="s">
        <v>19</v>
      </c>
      <c r="I496" s="54" t="s">
        <v>24</v>
      </c>
      <c r="J496" s="54" t="s">
        <v>18</v>
      </c>
      <c r="K496" s="54" t="s">
        <v>18</v>
      </c>
      <c r="L496" s="54" t="s">
        <v>20</v>
      </c>
      <c r="M496" s="54" t="s">
        <v>19</v>
      </c>
      <c r="N496" s="54" t="s">
        <v>18</v>
      </c>
      <c r="O496" s="54" t="s">
        <v>24</v>
      </c>
      <c r="P496" s="54" t="s">
        <v>22</v>
      </c>
      <c r="Q496" s="54" t="s">
        <v>45</v>
      </c>
      <c r="R496" s="165"/>
      <c r="S496" s="63" t="s">
        <v>0</v>
      </c>
      <c r="T496" s="1">
        <v>396.1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/>
      <c r="AA496" s="59">
        <f t="shared" si="99"/>
        <v>396.1</v>
      </c>
      <c r="AB496" s="58">
        <v>2018</v>
      </c>
      <c r="AC496" s="9"/>
      <c r="AD496" s="101"/>
      <c r="AE496" s="101"/>
    </row>
    <row r="497" spans="1:31" ht="15.6" hidden="1" customHeight="1" x14ac:dyDescent="0.25">
      <c r="A497" s="54" t="s">
        <v>18</v>
      </c>
      <c r="B497" s="54" t="s">
        <v>18</v>
      </c>
      <c r="C497" s="54" t="s">
        <v>25</v>
      </c>
      <c r="D497" s="54" t="s">
        <v>18</v>
      </c>
      <c r="E497" s="54" t="s">
        <v>21</v>
      </c>
      <c r="F497" s="54" t="s">
        <v>18</v>
      </c>
      <c r="G497" s="54" t="s">
        <v>22</v>
      </c>
      <c r="H497" s="54" t="s">
        <v>19</v>
      </c>
      <c r="I497" s="54" t="s">
        <v>24</v>
      </c>
      <c r="J497" s="54" t="s">
        <v>18</v>
      </c>
      <c r="K497" s="54" t="s">
        <v>18</v>
      </c>
      <c r="L497" s="54" t="s">
        <v>20</v>
      </c>
      <c r="M497" s="54" t="s">
        <v>37</v>
      </c>
      <c r="N497" s="54" t="s">
        <v>18</v>
      </c>
      <c r="O497" s="54" t="s">
        <v>24</v>
      </c>
      <c r="P497" s="54" t="s">
        <v>22</v>
      </c>
      <c r="Q497" s="54" t="s">
        <v>46</v>
      </c>
      <c r="R497" s="165"/>
      <c r="S497" s="63" t="s">
        <v>0</v>
      </c>
      <c r="T497" s="1">
        <v>5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/>
      <c r="AA497" s="59">
        <f t="shared" si="99"/>
        <v>5</v>
      </c>
      <c r="AB497" s="58">
        <v>2018</v>
      </c>
      <c r="AC497" s="9"/>
      <c r="AD497" s="101"/>
      <c r="AE497" s="101"/>
    </row>
    <row r="498" spans="1:31" ht="15.6" hidden="1" customHeight="1" x14ac:dyDescent="0.25">
      <c r="A498" s="54" t="s">
        <v>18</v>
      </c>
      <c r="B498" s="54" t="s">
        <v>18</v>
      </c>
      <c r="C498" s="54" t="s">
        <v>25</v>
      </c>
      <c r="D498" s="54" t="s">
        <v>18</v>
      </c>
      <c r="E498" s="54" t="s">
        <v>21</v>
      </c>
      <c r="F498" s="54" t="s">
        <v>18</v>
      </c>
      <c r="G498" s="54" t="s">
        <v>22</v>
      </c>
      <c r="H498" s="54" t="s">
        <v>19</v>
      </c>
      <c r="I498" s="54" t="s">
        <v>24</v>
      </c>
      <c r="J498" s="54" t="s">
        <v>18</v>
      </c>
      <c r="K498" s="54" t="s">
        <v>18</v>
      </c>
      <c r="L498" s="54" t="s">
        <v>20</v>
      </c>
      <c r="M498" s="54" t="s">
        <v>37</v>
      </c>
      <c r="N498" s="54" t="s">
        <v>18</v>
      </c>
      <c r="O498" s="54" t="s">
        <v>24</v>
      </c>
      <c r="P498" s="54" t="s">
        <v>22</v>
      </c>
      <c r="Q498" s="54" t="s">
        <v>46</v>
      </c>
      <c r="R498" s="165"/>
      <c r="S498" s="63" t="s">
        <v>0</v>
      </c>
      <c r="T498" s="1">
        <v>253.7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/>
      <c r="AA498" s="59">
        <f t="shared" si="99"/>
        <v>253.7</v>
      </c>
      <c r="AB498" s="58">
        <v>2018</v>
      </c>
      <c r="AC498" s="9"/>
      <c r="AD498" s="101"/>
      <c r="AE498" s="101"/>
    </row>
    <row r="499" spans="1:31" ht="15.6" hidden="1" customHeight="1" x14ac:dyDescent="0.25">
      <c r="A499" s="54" t="s">
        <v>18</v>
      </c>
      <c r="B499" s="54" t="s">
        <v>18</v>
      </c>
      <c r="C499" s="54" t="s">
        <v>25</v>
      </c>
      <c r="D499" s="54" t="s">
        <v>18</v>
      </c>
      <c r="E499" s="54" t="s">
        <v>21</v>
      </c>
      <c r="F499" s="54" t="s">
        <v>18</v>
      </c>
      <c r="G499" s="54" t="s">
        <v>22</v>
      </c>
      <c r="H499" s="54" t="s">
        <v>19</v>
      </c>
      <c r="I499" s="54" t="s">
        <v>24</v>
      </c>
      <c r="J499" s="54" t="s">
        <v>18</v>
      </c>
      <c r="K499" s="54" t="s">
        <v>18</v>
      </c>
      <c r="L499" s="54" t="s">
        <v>20</v>
      </c>
      <c r="M499" s="54" t="s">
        <v>37</v>
      </c>
      <c r="N499" s="54" t="s">
        <v>18</v>
      </c>
      <c r="O499" s="54" t="s">
        <v>24</v>
      </c>
      <c r="P499" s="54" t="s">
        <v>22</v>
      </c>
      <c r="Q499" s="54" t="s">
        <v>39</v>
      </c>
      <c r="R499" s="165"/>
      <c r="S499" s="63" t="s">
        <v>0</v>
      </c>
      <c r="T499" s="1">
        <v>400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/>
      <c r="AA499" s="59">
        <f t="shared" si="99"/>
        <v>400</v>
      </c>
      <c r="AB499" s="58">
        <v>2018</v>
      </c>
      <c r="AC499" s="9"/>
      <c r="AD499" s="101"/>
      <c r="AE499" s="101"/>
    </row>
    <row r="500" spans="1:31" ht="31.15" hidden="1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80" t="s">
        <v>252</v>
      </c>
      <c r="S500" s="84" t="s">
        <v>8</v>
      </c>
      <c r="T500" s="44">
        <v>1</v>
      </c>
      <c r="U500" s="44">
        <v>0</v>
      </c>
      <c r="V500" s="44">
        <v>0</v>
      </c>
      <c r="W500" s="44">
        <v>0</v>
      </c>
      <c r="X500" s="44">
        <v>0</v>
      </c>
      <c r="Y500" s="44">
        <v>0</v>
      </c>
      <c r="Z500" s="44"/>
      <c r="AA500" s="49">
        <f>SUM(T500:Y500)</f>
        <v>1</v>
      </c>
      <c r="AB500" s="41">
        <v>2018</v>
      </c>
      <c r="AC500" s="9"/>
      <c r="AD500" s="101"/>
      <c r="AE500" s="101"/>
    </row>
    <row r="501" spans="1:31" ht="31.5" hidden="1" x14ac:dyDescent="0.25">
      <c r="A501" s="54" t="s">
        <v>18</v>
      </c>
      <c r="B501" s="54" t="s">
        <v>19</v>
      </c>
      <c r="C501" s="54" t="s">
        <v>20</v>
      </c>
      <c r="D501" s="54" t="s">
        <v>18</v>
      </c>
      <c r="E501" s="54" t="s">
        <v>24</v>
      </c>
      <c r="F501" s="54" t="s">
        <v>18</v>
      </c>
      <c r="G501" s="54" t="s">
        <v>43</v>
      </c>
      <c r="H501" s="54" t="s">
        <v>19</v>
      </c>
      <c r="I501" s="54" t="s">
        <v>24</v>
      </c>
      <c r="J501" s="54" t="s">
        <v>18</v>
      </c>
      <c r="K501" s="54" t="s">
        <v>18</v>
      </c>
      <c r="L501" s="54" t="s">
        <v>20</v>
      </c>
      <c r="M501" s="54" t="s">
        <v>37</v>
      </c>
      <c r="N501" s="54" t="s">
        <v>18</v>
      </c>
      <c r="O501" s="54" t="s">
        <v>24</v>
      </c>
      <c r="P501" s="54" t="s">
        <v>22</v>
      </c>
      <c r="Q501" s="54" t="s">
        <v>18</v>
      </c>
      <c r="R501" s="77" t="s">
        <v>133</v>
      </c>
      <c r="S501" s="55" t="s">
        <v>0</v>
      </c>
      <c r="T501" s="1">
        <f>10000-9745-255</f>
        <v>0</v>
      </c>
      <c r="U501" s="1">
        <f>226.8-200-26.8</f>
        <v>0</v>
      </c>
      <c r="V501" s="1">
        <f>8228.3-8228.3</f>
        <v>0</v>
      </c>
      <c r="W501" s="1">
        <v>0</v>
      </c>
      <c r="X501" s="1">
        <f t="shared" ref="X501" si="100">8228.3-8228.3</f>
        <v>0</v>
      </c>
      <c r="Y501" s="1">
        <v>0</v>
      </c>
      <c r="Z501" s="1">
        <v>0</v>
      </c>
      <c r="AA501" s="59">
        <f t="shared" ref="AA501:AA536" si="101">SUM(T501:Z501)</f>
        <v>0</v>
      </c>
      <c r="AB501" s="58">
        <v>0</v>
      </c>
      <c r="AC501" s="118"/>
      <c r="AD501" s="101"/>
      <c r="AE501" s="101"/>
    </row>
    <row r="502" spans="1:31" ht="47.25" hidden="1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78" t="s">
        <v>307</v>
      </c>
      <c r="S502" s="62" t="s">
        <v>52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6">
        <f t="shared" si="101"/>
        <v>0</v>
      </c>
      <c r="AB502" s="41">
        <v>0</v>
      </c>
      <c r="AC502" s="128"/>
      <c r="AD502" s="101"/>
      <c r="AE502" s="101"/>
    </row>
    <row r="503" spans="1:31" ht="47.25" hidden="1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78" t="s">
        <v>308</v>
      </c>
      <c r="S503" s="62" t="s">
        <v>38</v>
      </c>
      <c r="T503" s="44">
        <v>0</v>
      </c>
      <c r="U503" s="44">
        <v>0</v>
      </c>
      <c r="V503" s="44">
        <v>0</v>
      </c>
      <c r="W503" s="44">
        <v>0</v>
      </c>
      <c r="X503" s="44">
        <v>0</v>
      </c>
      <c r="Y503" s="44">
        <v>0</v>
      </c>
      <c r="Z503" s="44">
        <v>0</v>
      </c>
      <c r="AA503" s="49">
        <f t="shared" si="101"/>
        <v>0</v>
      </c>
      <c r="AB503" s="41">
        <v>0</v>
      </c>
      <c r="AC503" s="128"/>
      <c r="AD503" s="101"/>
      <c r="AE503" s="101"/>
    </row>
    <row r="504" spans="1:31" s="51" customFormat="1" x14ac:dyDescent="0.25">
      <c r="A504" s="54" t="s">
        <v>18</v>
      </c>
      <c r="B504" s="54" t="s">
        <v>24</v>
      </c>
      <c r="C504" s="54" t="s">
        <v>22</v>
      </c>
      <c r="D504" s="54" t="s">
        <v>18</v>
      </c>
      <c r="E504" s="54" t="s">
        <v>21</v>
      </c>
      <c r="F504" s="54" t="s">
        <v>18</v>
      </c>
      <c r="G504" s="54" t="s">
        <v>22</v>
      </c>
      <c r="H504" s="54" t="s">
        <v>19</v>
      </c>
      <c r="I504" s="54" t="s">
        <v>24</v>
      </c>
      <c r="J504" s="54" t="s">
        <v>18</v>
      </c>
      <c r="K504" s="54" t="s">
        <v>257</v>
      </c>
      <c r="L504" s="54" t="s">
        <v>20</v>
      </c>
      <c r="M504" s="54" t="s">
        <v>18</v>
      </c>
      <c r="N504" s="54" t="s">
        <v>18</v>
      </c>
      <c r="O504" s="54" t="s">
        <v>18</v>
      </c>
      <c r="P504" s="54" t="s">
        <v>18</v>
      </c>
      <c r="Q504" s="54" t="s">
        <v>18</v>
      </c>
      <c r="R504" s="159" t="s">
        <v>319</v>
      </c>
      <c r="S504" s="181" t="s">
        <v>0</v>
      </c>
      <c r="T504" s="59">
        <v>0</v>
      </c>
      <c r="U504" s="59">
        <f>2801.1-100-2701.1</f>
        <v>0</v>
      </c>
      <c r="V504" s="59">
        <f>2801.1-2801.1</f>
        <v>0</v>
      </c>
      <c r="W504" s="59">
        <f>SUM(W505:W506)</f>
        <v>15653.2</v>
      </c>
      <c r="X504" s="59">
        <f t="shared" ref="X504:Z504" si="102">SUM(X505:X506)</f>
        <v>11802.699999999999</v>
      </c>
      <c r="Y504" s="59">
        <f t="shared" si="102"/>
        <v>5000</v>
      </c>
      <c r="Z504" s="59">
        <f t="shared" si="102"/>
        <v>5000</v>
      </c>
      <c r="AA504" s="59">
        <f t="shared" ref="AA504:AA508" si="103">SUM(T504:Z504)</f>
        <v>37455.9</v>
      </c>
      <c r="AB504" s="58">
        <v>2024</v>
      </c>
      <c r="AC504" s="33"/>
      <c r="AD504" s="50"/>
    </row>
    <row r="505" spans="1:31" s="51" customFormat="1" x14ac:dyDescent="0.25">
      <c r="A505" s="54" t="s">
        <v>18</v>
      </c>
      <c r="B505" s="54" t="s">
        <v>24</v>
      </c>
      <c r="C505" s="54" t="s">
        <v>22</v>
      </c>
      <c r="D505" s="54" t="s">
        <v>18</v>
      </c>
      <c r="E505" s="54" t="s">
        <v>21</v>
      </c>
      <c r="F505" s="54" t="s">
        <v>18</v>
      </c>
      <c r="G505" s="54" t="s">
        <v>22</v>
      </c>
      <c r="H505" s="54" t="s">
        <v>19</v>
      </c>
      <c r="I505" s="54" t="s">
        <v>24</v>
      </c>
      <c r="J505" s="54" t="s">
        <v>18</v>
      </c>
      <c r="K505" s="54" t="s">
        <v>257</v>
      </c>
      <c r="L505" s="54" t="s">
        <v>20</v>
      </c>
      <c r="M505" s="54" t="s">
        <v>21</v>
      </c>
      <c r="N505" s="54" t="s">
        <v>21</v>
      </c>
      <c r="O505" s="54" t="s">
        <v>21</v>
      </c>
      <c r="P505" s="54" t="s">
        <v>21</v>
      </c>
      <c r="Q505" s="54" t="s">
        <v>20</v>
      </c>
      <c r="R505" s="160"/>
      <c r="S505" s="182"/>
      <c r="T505" s="1">
        <v>0</v>
      </c>
      <c r="U505" s="1">
        <f t="shared" ref="U505:U506" si="104">2801.1-100-2701.1</f>
        <v>0</v>
      </c>
      <c r="V505" s="1">
        <f t="shared" ref="V505:V506" si="105">2801.1-2801.1</f>
        <v>0</v>
      </c>
      <c r="W505" s="1">
        <f>15752-435.9</f>
        <v>15316.1</v>
      </c>
      <c r="X505" s="1">
        <f>11439.8+115.6</f>
        <v>11555.4</v>
      </c>
      <c r="Y505" s="1">
        <v>5000</v>
      </c>
      <c r="Z505" s="1">
        <v>5000</v>
      </c>
      <c r="AA505" s="59">
        <f t="shared" si="103"/>
        <v>36871.5</v>
      </c>
      <c r="AB505" s="58">
        <v>2024</v>
      </c>
      <c r="AC505" s="33"/>
      <c r="AD505" s="50"/>
    </row>
    <row r="506" spans="1:31" s="51" customFormat="1" x14ac:dyDescent="0.25">
      <c r="A506" s="54" t="s">
        <v>18</v>
      </c>
      <c r="B506" s="54" t="s">
        <v>24</v>
      </c>
      <c r="C506" s="54" t="s">
        <v>22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19</v>
      </c>
      <c r="I506" s="54" t="s">
        <v>24</v>
      </c>
      <c r="J506" s="54" t="s">
        <v>18</v>
      </c>
      <c r="K506" s="54" t="s">
        <v>257</v>
      </c>
      <c r="L506" s="54" t="s">
        <v>20</v>
      </c>
      <c r="M506" s="54" t="s">
        <v>18</v>
      </c>
      <c r="N506" s="54" t="s">
        <v>18</v>
      </c>
      <c r="O506" s="54" t="s">
        <v>21</v>
      </c>
      <c r="P506" s="54" t="s">
        <v>21</v>
      </c>
      <c r="Q506" s="54" t="s">
        <v>20</v>
      </c>
      <c r="R506" s="161"/>
      <c r="S506" s="183"/>
      <c r="T506" s="1">
        <v>0</v>
      </c>
      <c r="U506" s="1">
        <f t="shared" si="104"/>
        <v>0</v>
      </c>
      <c r="V506" s="1">
        <f t="shared" si="105"/>
        <v>0</v>
      </c>
      <c r="W506" s="1">
        <v>337.1</v>
      </c>
      <c r="X506" s="1">
        <f>247.3</f>
        <v>247.3</v>
      </c>
      <c r="Y506" s="1">
        <v>0</v>
      </c>
      <c r="Z506" s="1">
        <v>0</v>
      </c>
      <c r="AA506" s="59">
        <f t="shared" si="103"/>
        <v>584.40000000000009</v>
      </c>
      <c r="AB506" s="58">
        <v>2024</v>
      </c>
      <c r="AC506" s="33"/>
      <c r="AD506" s="50"/>
    </row>
    <row r="507" spans="1:31" s="51" customFormat="1" ht="31.5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40" t="s">
        <v>229</v>
      </c>
      <c r="S507" s="52" t="s">
        <v>38</v>
      </c>
      <c r="T507" s="44">
        <v>0</v>
      </c>
      <c r="U507" s="44">
        <v>0</v>
      </c>
      <c r="V507" s="44">
        <v>0</v>
      </c>
      <c r="W507" s="44">
        <v>2</v>
      </c>
      <c r="X507" s="44">
        <v>1</v>
      </c>
      <c r="Y507" s="44">
        <v>2</v>
      </c>
      <c r="Z507" s="44">
        <v>2</v>
      </c>
      <c r="AA507" s="49">
        <f>SUM(T507:Z507)</f>
        <v>7</v>
      </c>
      <c r="AB507" s="153">
        <v>2024</v>
      </c>
      <c r="AC507" s="33"/>
      <c r="AD507" s="50"/>
    </row>
    <row r="508" spans="1:31" s="8" customFormat="1" ht="31.5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61" t="s">
        <v>230</v>
      </c>
      <c r="S508" s="62" t="s">
        <v>52</v>
      </c>
      <c r="T508" s="3">
        <v>0</v>
      </c>
      <c r="U508" s="3">
        <v>0</v>
      </c>
      <c r="V508" s="3">
        <v>0</v>
      </c>
      <c r="W508" s="3">
        <v>6.4</v>
      </c>
      <c r="X508" s="3">
        <v>10.6</v>
      </c>
      <c r="Y508" s="3">
        <v>5</v>
      </c>
      <c r="Z508" s="3">
        <v>5</v>
      </c>
      <c r="AA508" s="53">
        <f t="shared" si="103"/>
        <v>27</v>
      </c>
      <c r="AB508" s="153">
        <v>2024</v>
      </c>
      <c r="AC508" s="33"/>
      <c r="AD508" s="60"/>
    </row>
    <row r="509" spans="1:31" s="51" customFormat="1" ht="47.25" hidden="1" x14ac:dyDescent="0.25">
      <c r="A509" s="54" t="s">
        <v>18</v>
      </c>
      <c r="B509" s="54" t="s">
        <v>18</v>
      </c>
      <c r="C509" s="54" t="s">
        <v>22</v>
      </c>
      <c r="D509" s="54" t="s">
        <v>18</v>
      </c>
      <c r="E509" s="54" t="s">
        <v>21</v>
      </c>
      <c r="F509" s="54" t="s">
        <v>18</v>
      </c>
      <c r="G509" s="54" t="s">
        <v>22</v>
      </c>
      <c r="H509" s="54" t="s">
        <v>19</v>
      </c>
      <c r="I509" s="54" t="s">
        <v>24</v>
      </c>
      <c r="J509" s="54" t="s">
        <v>18</v>
      </c>
      <c r="K509" s="54" t="s">
        <v>257</v>
      </c>
      <c r="L509" s="54" t="s">
        <v>20</v>
      </c>
      <c r="M509" s="54" t="s">
        <v>21</v>
      </c>
      <c r="N509" s="54" t="s">
        <v>21</v>
      </c>
      <c r="O509" s="54" t="s">
        <v>21</v>
      </c>
      <c r="P509" s="54" t="s">
        <v>21</v>
      </c>
      <c r="Q509" s="54" t="s">
        <v>20</v>
      </c>
      <c r="R509" s="150" t="s">
        <v>319</v>
      </c>
      <c r="S509" s="55" t="s">
        <v>0</v>
      </c>
      <c r="T509" s="1">
        <v>0</v>
      </c>
      <c r="U509" s="1">
        <f>3100.4-200-2900.4</f>
        <v>0</v>
      </c>
      <c r="V509" s="1">
        <f>2000.4-2000.4</f>
        <v>0</v>
      </c>
      <c r="W509" s="1">
        <v>0</v>
      </c>
      <c r="X509" s="1">
        <f>3100.4-200-2900.4</f>
        <v>0</v>
      </c>
      <c r="Y509" s="1">
        <f>2000.4-2000.4</f>
        <v>0</v>
      </c>
      <c r="Z509" s="1">
        <v>0</v>
      </c>
      <c r="AA509" s="59">
        <f t="shared" si="101"/>
        <v>0</v>
      </c>
      <c r="AB509" s="58">
        <v>2024</v>
      </c>
      <c r="AC509" s="33"/>
      <c r="AD509" s="50"/>
    </row>
    <row r="510" spans="1:31" s="51" customFormat="1" ht="47.25" hidden="1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40" t="s">
        <v>126</v>
      </c>
      <c r="S510" s="52" t="s">
        <v>38</v>
      </c>
      <c r="T510" s="44">
        <v>0</v>
      </c>
      <c r="U510" s="44">
        <v>0</v>
      </c>
      <c r="V510" s="44">
        <f>12-12</f>
        <v>0</v>
      </c>
      <c r="W510" s="44">
        <v>0</v>
      </c>
      <c r="X510" s="44">
        <v>0</v>
      </c>
      <c r="Y510" s="44">
        <f>12-12</f>
        <v>0</v>
      </c>
      <c r="Z510" s="44">
        <v>0</v>
      </c>
      <c r="AA510" s="49">
        <f t="shared" si="101"/>
        <v>0</v>
      </c>
      <c r="AB510" s="153">
        <v>2024</v>
      </c>
      <c r="AC510" s="33"/>
      <c r="AD510" s="50"/>
    </row>
    <row r="511" spans="1:31" s="51" customFormat="1" ht="47.25" hidden="1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40" t="s">
        <v>127</v>
      </c>
      <c r="S511" s="52" t="s">
        <v>52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53">
        <f t="shared" si="101"/>
        <v>0</v>
      </c>
      <c r="AB511" s="153">
        <v>2024</v>
      </c>
      <c r="AC511" s="33"/>
      <c r="AD511" s="50"/>
    </row>
    <row r="512" spans="1:31" s="51" customFormat="1" ht="47.25" hidden="1" x14ac:dyDescent="0.25">
      <c r="A512" s="54" t="s">
        <v>18</v>
      </c>
      <c r="B512" s="54" t="s">
        <v>18</v>
      </c>
      <c r="C512" s="54" t="s">
        <v>24</v>
      </c>
      <c r="D512" s="54" t="s">
        <v>18</v>
      </c>
      <c r="E512" s="54" t="s">
        <v>21</v>
      </c>
      <c r="F512" s="54" t="s">
        <v>18</v>
      </c>
      <c r="G512" s="54" t="s">
        <v>22</v>
      </c>
      <c r="H512" s="54" t="s">
        <v>19</v>
      </c>
      <c r="I512" s="54" t="s">
        <v>24</v>
      </c>
      <c r="J512" s="54" t="s">
        <v>18</v>
      </c>
      <c r="K512" s="54" t="s">
        <v>257</v>
      </c>
      <c r="L512" s="54" t="s">
        <v>20</v>
      </c>
      <c r="M512" s="54" t="s">
        <v>21</v>
      </c>
      <c r="N512" s="54" t="s">
        <v>21</v>
      </c>
      <c r="O512" s="54" t="s">
        <v>21</v>
      </c>
      <c r="P512" s="54" t="s">
        <v>21</v>
      </c>
      <c r="Q512" s="54" t="s">
        <v>20</v>
      </c>
      <c r="R512" s="150" t="s">
        <v>319</v>
      </c>
      <c r="S512" s="55" t="s">
        <v>0</v>
      </c>
      <c r="T512" s="1">
        <v>0</v>
      </c>
      <c r="U512" s="1">
        <f>2000-100-1900</f>
        <v>0</v>
      </c>
      <c r="V512" s="1">
        <f>2000-2000</f>
        <v>0</v>
      </c>
      <c r="W512" s="1">
        <v>0</v>
      </c>
      <c r="X512" s="1">
        <f>2000-100-1900</f>
        <v>0</v>
      </c>
      <c r="Y512" s="1">
        <f>2000-2000</f>
        <v>0</v>
      </c>
      <c r="Z512" s="1">
        <v>0</v>
      </c>
      <c r="AA512" s="59">
        <f t="shared" si="101"/>
        <v>0</v>
      </c>
      <c r="AB512" s="58">
        <v>2024</v>
      </c>
      <c r="AC512" s="33"/>
      <c r="AD512" s="50"/>
    </row>
    <row r="513" spans="1:30" s="51" customFormat="1" ht="47.25" hidden="1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40" t="s">
        <v>265</v>
      </c>
      <c r="S513" s="52" t="s">
        <v>38</v>
      </c>
      <c r="T513" s="44">
        <v>0</v>
      </c>
      <c r="U513" s="44">
        <v>0</v>
      </c>
      <c r="V513" s="44">
        <v>0</v>
      </c>
      <c r="W513" s="44">
        <v>0</v>
      </c>
      <c r="X513" s="44">
        <v>0</v>
      </c>
      <c r="Y513" s="44">
        <v>0</v>
      </c>
      <c r="Z513" s="44">
        <v>0</v>
      </c>
      <c r="AA513" s="49">
        <f t="shared" si="101"/>
        <v>0</v>
      </c>
      <c r="AB513" s="153">
        <v>2024</v>
      </c>
      <c r="AC513" s="33"/>
      <c r="AD513" s="50"/>
    </row>
    <row r="514" spans="1:30" s="51" customFormat="1" ht="47.25" hidden="1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40" t="s">
        <v>266</v>
      </c>
      <c r="S514" s="52" t="s">
        <v>52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53">
        <f t="shared" si="101"/>
        <v>0</v>
      </c>
      <c r="AB514" s="153">
        <v>2024</v>
      </c>
      <c r="AC514" s="121"/>
      <c r="AD514" s="113"/>
    </row>
    <row r="515" spans="1:30" s="51" customFormat="1" ht="47.25" hidden="1" x14ac:dyDescent="0.25">
      <c r="A515" s="54" t="s">
        <v>18</v>
      </c>
      <c r="B515" s="54" t="s">
        <v>18</v>
      </c>
      <c r="C515" s="54" t="s">
        <v>21</v>
      </c>
      <c r="D515" s="54" t="s">
        <v>18</v>
      </c>
      <c r="E515" s="54" t="s">
        <v>21</v>
      </c>
      <c r="F515" s="54" t="s">
        <v>18</v>
      </c>
      <c r="G515" s="54" t="s">
        <v>22</v>
      </c>
      <c r="H515" s="54" t="s">
        <v>19</v>
      </c>
      <c r="I515" s="54" t="s">
        <v>24</v>
      </c>
      <c r="J515" s="54" t="s">
        <v>18</v>
      </c>
      <c r="K515" s="54" t="s">
        <v>257</v>
      </c>
      <c r="L515" s="54" t="s">
        <v>20</v>
      </c>
      <c r="M515" s="54" t="s">
        <v>21</v>
      </c>
      <c r="N515" s="54" t="s">
        <v>21</v>
      </c>
      <c r="O515" s="54" t="s">
        <v>21</v>
      </c>
      <c r="P515" s="54" t="s">
        <v>21</v>
      </c>
      <c r="Q515" s="54" t="s">
        <v>20</v>
      </c>
      <c r="R515" s="150" t="s">
        <v>320</v>
      </c>
      <c r="S515" s="55" t="s">
        <v>0</v>
      </c>
      <c r="T515" s="1">
        <v>0</v>
      </c>
      <c r="U515" s="1">
        <f>2860.5-100-2760.5</f>
        <v>0</v>
      </c>
      <c r="V515" s="1">
        <f>2860.6-2860.6</f>
        <v>0</v>
      </c>
      <c r="W515" s="1">
        <v>0</v>
      </c>
      <c r="X515" s="1">
        <f>2860.5-100-2760.5</f>
        <v>0</v>
      </c>
      <c r="Y515" s="1">
        <f>2860.6-2860.6</f>
        <v>0</v>
      </c>
      <c r="Z515" s="1">
        <v>0</v>
      </c>
      <c r="AA515" s="59">
        <f t="shared" si="101"/>
        <v>0</v>
      </c>
      <c r="AB515" s="58">
        <v>2024</v>
      </c>
      <c r="AC515" s="33"/>
      <c r="AD515" s="50"/>
    </row>
    <row r="516" spans="1:30" s="51" customFormat="1" ht="47.25" hidden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0" t="s">
        <v>267</v>
      </c>
      <c r="S516" s="52" t="s">
        <v>38</v>
      </c>
      <c r="T516" s="44">
        <v>0</v>
      </c>
      <c r="U516" s="44">
        <v>0</v>
      </c>
      <c r="V516" s="44">
        <v>0</v>
      </c>
      <c r="W516" s="44">
        <v>0</v>
      </c>
      <c r="X516" s="44">
        <v>0</v>
      </c>
      <c r="Y516" s="44">
        <v>0</v>
      </c>
      <c r="Z516" s="44">
        <v>0</v>
      </c>
      <c r="AA516" s="49">
        <f t="shared" si="101"/>
        <v>0</v>
      </c>
      <c r="AB516" s="153">
        <v>2024</v>
      </c>
      <c r="AC516" s="33"/>
      <c r="AD516" s="50"/>
    </row>
    <row r="517" spans="1:30" s="51" customFormat="1" ht="47.25" hidden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 t="s">
        <v>268</v>
      </c>
      <c r="S517" s="52" t="s">
        <v>52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3">
        <f t="shared" si="101"/>
        <v>0</v>
      </c>
      <c r="AB517" s="153">
        <v>2024</v>
      </c>
      <c r="AC517" s="33"/>
      <c r="AD517" s="50"/>
    </row>
    <row r="518" spans="1:30" s="51" customFormat="1" ht="47.25" hidden="1" x14ac:dyDescent="0.25">
      <c r="A518" s="54" t="s">
        <v>18</v>
      </c>
      <c r="B518" s="54" t="s">
        <v>18</v>
      </c>
      <c r="C518" s="54" t="s">
        <v>25</v>
      </c>
      <c r="D518" s="54" t="s">
        <v>18</v>
      </c>
      <c r="E518" s="54" t="s">
        <v>21</v>
      </c>
      <c r="F518" s="54" t="s">
        <v>18</v>
      </c>
      <c r="G518" s="54" t="s">
        <v>22</v>
      </c>
      <c r="H518" s="54" t="s">
        <v>19</v>
      </c>
      <c r="I518" s="54" t="s">
        <v>24</v>
      </c>
      <c r="J518" s="54" t="s">
        <v>18</v>
      </c>
      <c r="K518" s="54" t="s">
        <v>257</v>
      </c>
      <c r="L518" s="54" t="s">
        <v>20</v>
      </c>
      <c r="M518" s="54" t="s">
        <v>21</v>
      </c>
      <c r="N518" s="54" t="s">
        <v>21</v>
      </c>
      <c r="O518" s="54" t="s">
        <v>21</v>
      </c>
      <c r="P518" s="54" t="s">
        <v>21</v>
      </c>
      <c r="Q518" s="54" t="s">
        <v>20</v>
      </c>
      <c r="R518" s="150" t="s">
        <v>319</v>
      </c>
      <c r="S518" s="55" t="s">
        <v>0</v>
      </c>
      <c r="T518" s="1">
        <v>0</v>
      </c>
      <c r="U518" s="1">
        <f>2801.1-100-2701.1</f>
        <v>0</v>
      </c>
      <c r="V518" s="1">
        <f>2801.1-2801.1</f>
        <v>0</v>
      </c>
      <c r="W518" s="1">
        <v>0</v>
      </c>
      <c r="X518" s="1">
        <f>2801.1-100-2701.1</f>
        <v>0</v>
      </c>
      <c r="Y518" s="1">
        <f>2801.1-2801.1</f>
        <v>0</v>
      </c>
      <c r="Z518" s="1">
        <v>0</v>
      </c>
      <c r="AA518" s="59">
        <f t="shared" si="101"/>
        <v>0</v>
      </c>
      <c r="AB518" s="58">
        <v>2024</v>
      </c>
      <c r="AC518" s="33"/>
      <c r="AD518" s="50"/>
    </row>
    <row r="519" spans="1:30" s="51" customFormat="1" ht="47.25" hidden="1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 t="s">
        <v>269</v>
      </c>
      <c r="S519" s="52" t="s">
        <v>38</v>
      </c>
      <c r="T519" s="44">
        <v>0</v>
      </c>
      <c r="U519" s="44">
        <v>0</v>
      </c>
      <c r="V519" s="44">
        <v>0</v>
      </c>
      <c r="W519" s="44">
        <v>0</v>
      </c>
      <c r="X519" s="44">
        <v>0</v>
      </c>
      <c r="Y519" s="44">
        <v>0</v>
      </c>
      <c r="Z519" s="44">
        <v>0</v>
      </c>
      <c r="AA519" s="49">
        <f t="shared" si="101"/>
        <v>0</v>
      </c>
      <c r="AB519" s="153">
        <v>2024</v>
      </c>
      <c r="AC519" s="33"/>
      <c r="AD519" s="50"/>
    </row>
    <row r="520" spans="1:30" s="51" customFormat="1" ht="47.25" hidden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0" t="s">
        <v>270</v>
      </c>
      <c r="S520" s="52" t="s">
        <v>52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3">
        <f t="shared" si="101"/>
        <v>0</v>
      </c>
      <c r="AB520" s="153">
        <v>2024</v>
      </c>
      <c r="AC520" s="33"/>
      <c r="AD520" s="50"/>
    </row>
    <row r="521" spans="1:30" s="51" customFormat="1" hidden="1" x14ac:dyDescent="0.25">
      <c r="A521" s="54" t="s">
        <v>18</v>
      </c>
      <c r="B521" s="54" t="s">
        <v>24</v>
      </c>
      <c r="C521" s="54" t="s">
        <v>22</v>
      </c>
      <c r="D521" s="54" t="s">
        <v>18</v>
      </c>
      <c r="E521" s="54" t="s">
        <v>21</v>
      </c>
      <c r="F521" s="54" t="s">
        <v>18</v>
      </c>
      <c r="G521" s="54" t="s">
        <v>22</v>
      </c>
      <c r="H521" s="54" t="s">
        <v>19</v>
      </c>
      <c r="I521" s="54" t="s">
        <v>24</v>
      </c>
      <c r="J521" s="54" t="s">
        <v>18</v>
      </c>
      <c r="K521" s="54" t="s">
        <v>257</v>
      </c>
      <c r="L521" s="54" t="s">
        <v>20</v>
      </c>
      <c r="M521" s="54" t="s">
        <v>18</v>
      </c>
      <c r="N521" s="54" t="s">
        <v>18</v>
      </c>
      <c r="O521" s="54" t="s">
        <v>18</v>
      </c>
      <c r="P521" s="54" t="s">
        <v>18</v>
      </c>
      <c r="Q521" s="54" t="s">
        <v>18</v>
      </c>
      <c r="R521" s="159" t="s">
        <v>319</v>
      </c>
      <c r="S521" s="184" t="s">
        <v>0</v>
      </c>
      <c r="T521" s="1">
        <v>0</v>
      </c>
      <c r="U521" s="1">
        <f>2801.1-100-2701.1</f>
        <v>0</v>
      </c>
      <c r="V521" s="1">
        <f>2801.1-2801.1</f>
        <v>0</v>
      </c>
      <c r="W521" s="1"/>
      <c r="X521" s="1"/>
      <c r="Y521" s="1"/>
      <c r="Z521" s="1"/>
      <c r="AA521" s="59"/>
      <c r="AB521" s="58"/>
      <c r="AC521" s="33"/>
      <c r="AD521" s="50"/>
    </row>
    <row r="522" spans="1:30" s="51" customFormat="1" hidden="1" x14ac:dyDescent="0.25">
      <c r="A522" s="54" t="s">
        <v>18</v>
      </c>
      <c r="B522" s="54" t="s">
        <v>24</v>
      </c>
      <c r="C522" s="54" t="s">
        <v>22</v>
      </c>
      <c r="D522" s="54" t="s">
        <v>18</v>
      </c>
      <c r="E522" s="54" t="s">
        <v>21</v>
      </c>
      <c r="F522" s="54" t="s">
        <v>18</v>
      </c>
      <c r="G522" s="54" t="s">
        <v>22</v>
      </c>
      <c r="H522" s="54" t="s">
        <v>19</v>
      </c>
      <c r="I522" s="54" t="s">
        <v>24</v>
      </c>
      <c r="J522" s="54" t="s">
        <v>18</v>
      </c>
      <c r="K522" s="54" t="s">
        <v>257</v>
      </c>
      <c r="L522" s="54" t="s">
        <v>20</v>
      </c>
      <c r="M522" s="54" t="s">
        <v>21</v>
      </c>
      <c r="N522" s="54" t="s">
        <v>21</v>
      </c>
      <c r="O522" s="54" t="s">
        <v>21</v>
      </c>
      <c r="P522" s="54" t="s">
        <v>21</v>
      </c>
      <c r="Q522" s="54" t="s">
        <v>20</v>
      </c>
      <c r="R522" s="160"/>
      <c r="S522" s="185"/>
      <c r="T522" s="1">
        <v>0</v>
      </c>
      <c r="U522" s="1">
        <f t="shared" ref="U522:U523" si="106">2801.1-100-2701.1</f>
        <v>0</v>
      </c>
      <c r="V522" s="1">
        <f t="shared" ref="V522:V523" si="107">2801.1-2801.1</f>
        <v>0</v>
      </c>
      <c r="W522" s="1"/>
      <c r="X522" s="1"/>
      <c r="Y522" s="1"/>
      <c r="Z522" s="1"/>
      <c r="AA522" s="59"/>
      <c r="AB522" s="58"/>
      <c r="AC522" s="33"/>
      <c r="AD522" s="50"/>
    </row>
    <row r="523" spans="1:30" s="51" customFormat="1" hidden="1" x14ac:dyDescent="0.25">
      <c r="A523" s="54" t="s">
        <v>18</v>
      </c>
      <c r="B523" s="54" t="s">
        <v>24</v>
      </c>
      <c r="C523" s="54" t="s">
        <v>22</v>
      </c>
      <c r="D523" s="54" t="s">
        <v>18</v>
      </c>
      <c r="E523" s="54" t="s">
        <v>21</v>
      </c>
      <c r="F523" s="54" t="s">
        <v>18</v>
      </c>
      <c r="G523" s="54" t="s">
        <v>22</v>
      </c>
      <c r="H523" s="54" t="s">
        <v>19</v>
      </c>
      <c r="I523" s="54" t="s">
        <v>24</v>
      </c>
      <c r="J523" s="54" t="s">
        <v>18</v>
      </c>
      <c r="K523" s="54" t="s">
        <v>257</v>
      </c>
      <c r="L523" s="54" t="s">
        <v>20</v>
      </c>
      <c r="M523" s="54" t="s">
        <v>18</v>
      </c>
      <c r="N523" s="54" t="s">
        <v>18</v>
      </c>
      <c r="O523" s="54" t="s">
        <v>21</v>
      </c>
      <c r="P523" s="54" t="s">
        <v>21</v>
      </c>
      <c r="Q523" s="54" t="s">
        <v>20</v>
      </c>
      <c r="R523" s="161"/>
      <c r="S523" s="186"/>
      <c r="T523" s="1">
        <v>0</v>
      </c>
      <c r="U523" s="1">
        <f t="shared" si="106"/>
        <v>0</v>
      </c>
      <c r="V523" s="1">
        <f t="shared" si="107"/>
        <v>0</v>
      </c>
      <c r="W523" s="1"/>
      <c r="X523" s="1"/>
      <c r="Y523" s="1"/>
      <c r="Z523" s="1"/>
      <c r="AA523" s="59"/>
      <c r="AB523" s="58"/>
      <c r="AC523" s="33"/>
      <c r="AD523" s="50"/>
    </row>
    <row r="524" spans="1:30" s="51" customFormat="1" ht="47.25" hidden="1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40" t="s">
        <v>326</v>
      </c>
      <c r="S524" s="52" t="s">
        <v>38</v>
      </c>
      <c r="T524" s="44"/>
      <c r="U524" s="44"/>
      <c r="V524" s="44"/>
      <c r="W524" s="44"/>
      <c r="X524" s="44"/>
      <c r="Y524" s="44"/>
      <c r="Z524" s="44"/>
      <c r="AA524" s="49"/>
      <c r="AB524" s="153"/>
      <c r="AC524" s="33"/>
      <c r="AD524" s="50"/>
    </row>
    <row r="525" spans="1:30" s="51" customFormat="1" ht="47.25" hidden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40" t="s">
        <v>327</v>
      </c>
      <c r="S525" s="52" t="s">
        <v>52</v>
      </c>
      <c r="T525" s="3"/>
      <c r="U525" s="3"/>
      <c r="V525" s="3"/>
      <c r="W525" s="3"/>
      <c r="X525" s="3"/>
      <c r="Y525" s="3"/>
      <c r="Z525" s="3"/>
      <c r="AA525" s="53"/>
      <c r="AB525" s="153"/>
      <c r="AC525" s="33"/>
      <c r="AD525" s="50"/>
    </row>
    <row r="526" spans="1:30" s="51" customFormat="1" ht="31.5" x14ac:dyDescent="0.25">
      <c r="A526" s="54" t="s">
        <v>18</v>
      </c>
      <c r="B526" s="54" t="s">
        <v>18</v>
      </c>
      <c r="C526" s="54" t="s">
        <v>43</v>
      </c>
      <c r="D526" s="54" t="s">
        <v>18</v>
      </c>
      <c r="E526" s="54" t="s">
        <v>21</v>
      </c>
      <c r="F526" s="54" t="s">
        <v>18</v>
      </c>
      <c r="G526" s="54" t="s">
        <v>22</v>
      </c>
      <c r="H526" s="54" t="s">
        <v>19</v>
      </c>
      <c r="I526" s="54" t="s">
        <v>24</v>
      </c>
      <c r="J526" s="54" t="s">
        <v>18</v>
      </c>
      <c r="K526" s="54" t="s">
        <v>18</v>
      </c>
      <c r="L526" s="54" t="s">
        <v>20</v>
      </c>
      <c r="M526" s="54" t="s">
        <v>349</v>
      </c>
      <c r="N526" s="54" t="s">
        <v>350</v>
      </c>
      <c r="O526" s="54" t="s">
        <v>18</v>
      </c>
      <c r="P526" s="54" t="s">
        <v>18</v>
      </c>
      <c r="Q526" s="54" t="s">
        <v>18</v>
      </c>
      <c r="R526" s="77" t="s">
        <v>330</v>
      </c>
      <c r="S526" s="55" t="s">
        <v>0</v>
      </c>
      <c r="T526" s="59">
        <f>10000-9745-255</f>
        <v>0</v>
      </c>
      <c r="U526" s="59">
        <f>226.8-200-26.8</f>
        <v>0</v>
      </c>
      <c r="V526" s="59">
        <f>8228.3-8228.3</f>
        <v>0</v>
      </c>
      <c r="W526" s="59">
        <f>5000-3206.5-1793.5</f>
        <v>0</v>
      </c>
      <c r="X526" s="59">
        <f>5000+11000</f>
        <v>16000</v>
      </c>
      <c r="Y526" s="59">
        <v>5000</v>
      </c>
      <c r="Z526" s="59">
        <v>5000</v>
      </c>
      <c r="AA526" s="59">
        <f t="shared" ref="AA526:AA528" si="108">SUM(T526:Z526)</f>
        <v>26000</v>
      </c>
      <c r="AB526" s="58">
        <v>2024</v>
      </c>
      <c r="AC526" s="33"/>
      <c r="AD526" s="50"/>
    </row>
    <row r="527" spans="1:30" s="51" customFormat="1" ht="31.5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78" t="s">
        <v>328</v>
      </c>
      <c r="S527" s="62" t="s">
        <v>52</v>
      </c>
      <c r="T527" s="3">
        <v>0</v>
      </c>
      <c r="U527" s="3">
        <v>0</v>
      </c>
      <c r="V527" s="3">
        <v>0</v>
      </c>
      <c r="W527" s="3">
        <v>0</v>
      </c>
      <c r="X527" s="3">
        <v>5</v>
      </c>
      <c r="Y527" s="3">
        <v>5</v>
      </c>
      <c r="Z527" s="3">
        <v>5</v>
      </c>
      <c r="AA527" s="6">
        <f t="shared" si="108"/>
        <v>15</v>
      </c>
      <c r="AB527" s="41">
        <v>2024</v>
      </c>
      <c r="AC527" s="33"/>
      <c r="AD527" s="50"/>
    </row>
    <row r="528" spans="1:30" s="51" customFormat="1" ht="31.5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78" t="s">
        <v>329</v>
      </c>
      <c r="S528" s="62" t="s">
        <v>38</v>
      </c>
      <c r="T528" s="44">
        <v>0</v>
      </c>
      <c r="U528" s="44">
        <v>0</v>
      </c>
      <c r="V528" s="44">
        <v>0</v>
      </c>
      <c r="W528" s="44">
        <v>0</v>
      </c>
      <c r="X528" s="44">
        <v>5</v>
      </c>
      <c r="Y528" s="44">
        <v>5</v>
      </c>
      <c r="Z528" s="44">
        <v>5</v>
      </c>
      <c r="AA528" s="49">
        <f t="shared" si="108"/>
        <v>15</v>
      </c>
      <c r="AB528" s="41">
        <v>2024</v>
      </c>
      <c r="AC528" s="33"/>
      <c r="AD528" s="50"/>
    </row>
    <row r="529" spans="1:31" ht="78.75" x14ac:dyDescent="0.25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152" t="s">
        <v>357</v>
      </c>
      <c r="S529" s="55" t="s">
        <v>41</v>
      </c>
      <c r="T529" s="56">
        <v>0</v>
      </c>
      <c r="U529" s="56">
        <v>0</v>
      </c>
      <c r="V529" s="56">
        <v>0</v>
      </c>
      <c r="W529" s="56">
        <v>1</v>
      </c>
      <c r="X529" s="56">
        <v>1</v>
      </c>
      <c r="Y529" s="56">
        <v>1</v>
      </c>
      <c r="Z529" s="56">
        <v>1</v>
      </c>
      <c r="AA529" s="57">
        <v>1</v>
      </c>
      <c r="AB529" s="58">
        <v>2024</v>
      </c>
      <c r="AD529" s="104"/>
      <c r="AE529" s="104"/>
    </row>
    <row r="530" spans="1:31" ht="78.75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358</v>
      </c>
      <c r="S530" s="62" t="s">
        <v>38</v>
      </c>
      <c r="T530" s="44">
        <v>0</v>
      </c>
      <c r="U530" s="44">
        <v>0</v>
      </c>
      <c r="V530" s="44">
        <v>0</v>
      </c>
      <c r="W530" s="44">
        <v>4</v>
      </c>
      <c r="X530" s="44">
        <v>4</v>
      </c>
      <c r="Y530" s="44">
        <v>4</v>
      </c>
      <c r="Z530" s="44">
        <v>4</v>
      </c>
      <c r="AA530" s="49">
        <f>SUM(T530:Z530)</f>
        <v>16</v>
      </c>
      <c r="AB530" s="41">
        <v>2024</v>
      </c>
      <c r="AD530" s="104"/>
      <c r="AE530" s="104"/>
    </row>
    <row r="531" spans="1:31" ht="63" x14ac:dyDescent="0.25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152" t="s">
        <v>359</v>
      </c>
      <c r="S531" s="55" t="s">
        <v>41</v>
      </c>
      <c r="T531" s="56">
        <v>0</v>
      </c>
      <c r="U531" s="56">
        <v>0</v>
      </c>
      <c r="V531" s="56">
        <v>0</v>
      </c>
      <c r="W531" s="56">
        <v>1</v>
      </c>
      <c r="X531" s="56">
        <v>1</v>
      </c>
      <c r="Y531" s="56">
        <v>1</v>
      </c>
      <c r="Z531" s="56">
        <v>1</v>
      </c>
      <c r="AA531" s="57">
        <v>1</v>
      </c>
      <c r="AB531" s="58">
        <v>2024</v>
      </c>
      <c r="AD531" s="104"/>
      <c r="AE531" s="104"/>
    </row>
    <row r="532" spans="1:31" ht="78.75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 t="s">
        <v>362</v>
      </c>
      <c r="S532" s="62" t="s">
        <v>38</v>
      </c>
      <c r="T532" s="44">
        <v>0</v>
      </c>
      <c r="U532" s="44">
        <v>0</v>
      </c>
      <c r="V532" s="44">
        <v>0</v>
      </c>
      <c r="W532" s="44">
        <v>12</v>
      </c>
      <c r="X532" s="44">
        <v>12</v>
      </c>
      <c r="Y532" s="44">
        <v>12</v>
      </c>
      <c r="Z532" s="44">
        <v>12</v>
      </c>
      <c r="AA532" s="49">
        <f>SUM(T532:Z532)</f>
        <v>48</v>
      </c>
      <c r="AB532" s="41">
        <v>2024</v>
      </c>
      <c r="AD532" s="104"/>
      <c r="AE532" s="104"/>
    </row>
    <row r="533" spans="1:31" ht="47.25" x14ac:dyDescent="0.25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152" t="s">
        <v>364</v>
      </c>
      <c r="S533" s="55" t="s">
        <v>41</v>
      </c>
      <c r="T533" s="56">
        <v>0</v>
      </c>
      <c r="U533" s="56">
        <v>0</v>
      </c>
      <c r="V533" s="56">
        <v>0</v>
      </c>
      <c r="W533" s="56">
        <v>1</v>
      </c>
      <c r="X533" s="56">
        <v>0</v>
      </c>
      <c r="Y533" s="56">
        <v>0</v>
      </c>
      <c r="Z533" s="56">
        <v>0</v>
      </c>
      <c r="AA533" s="57">
        <v>1</v>
      </c>
      <c r="AB533" s="58">
        <v>2021</v>
      </c>
      <c r="AD533" s="104"/>
      <c r="AE533" s="104"/>
    </row>
    <row r="534" spans="1:31" ht="47.25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40" t="s">
        <v>363</v>
      </c>
      <c r="S534" s="62" t="s">
        <v>52</v>
      </c>
      <c r="T534" s="44">
        <v>0</v>
      </c>
      <c r="U534" s="44">
        <v>0</v>
      </c>
      <c r="V534" s="44">
        <v>0</v>
      </c>
      <c r="W534" s="3">
        <v>20.5</v>
      </c>
      <c r="X534" s="44">
        <v>0</v>
      </c>
      <c r="Y534" s="44">
        <v>0</v>
      </c>
      <c r="Z534" s="44">
        <v>0</v>
      </c>
      <c r="AA534" s="49">
        <f>W534</f>
        <v>20.5</v>
      </c>
      <c r="AB534" s="41">
        <v>2021</v>
      </c>
      <c r="AD534" s="104"/>
      <c r="AE534" s="104"/>
    </row>
    <row r="535" spans="1:31" ht="47.45" customHeight="1" x14ac:dyDescent="0.25">
      <c r="A535" s="46"/>
      <c r="B535" s="46"/>
      <c r="C535" s="46"/>
      <c r="D535" s="46"/>
      <c r="E535" s="46"/>
      <c r="F535" s="46"/>
      <c r="G535" s="46"/>
      <c r="H535" s="46" t="s">
        <v>19</v>
      </c>
      <c r="I535" s="46" t="s">
        <v>24</v>
      </c>
      <c r="J535" s="46" t="s">
        <v>18</v>
      </c>
      <c r="K535" s="46" t="s">
        <v>18</v>
      </c>
      <c r="L535" s="46" t="s">
        <v>22</v>
      </c>
      <c r="M535" s="46" t="s">
        <v>18</v>
      </c>
      <c r="N535" s="46" t="s">
        <v>18</v>
      </c>
      <c r="O535" s="46" t="s">
        <v>18</v>
      </c>
      <c r="P535" s="46" t="s">
        <v>18</v>
      </c>
      <c r="Q535" s="46" t="s">
        <v>18</v>
      </c>
      <c r="R535" s="100" t="s">
        <v>55</v>
      </c>
      <c r="S535" s="141" t="s">
        <v>0</v>
      </c>
      <c r="T535" s="140">
        <f>T539++T556+T559+T580</f>
        <v>7230.2999999999993</v>
      </c>
      <c r="U535" s="140">
        <f>U539++U556+U559+U580+U592+U590+U594+U554</f>
        <v>12898</v>
      </c>
      <c r="V535" s="140">
        <f>V539++V556+V559+V580</f>
        <v>3228.7</v>
      </c>
      <c r="W535" s="140">
        <f>W539++W556+W559+W580</f>
        <v>3490.5999999999995</v>
      </c>
      <c r="X535" s="140">
        <f>X539++X556+X559+X580</f>
        <v>4311.8</v>
      </c>
      <c r="Y535" s="140">
        <f>Y539++Y556+Y559+Y580</f>
        <v>4484</v>
      </c>
      <c r="Z535" s="140">
        <f>Z539++Z556+Z559+Z580</f>
        <v>4484</v>
      </c>
      <c r="AA535" s="140">
        <f t="shared" si="101"/>
        <v>40127.399999999994</v>
      </c>
      <c r="AB535" s="141">
        <v>2024</v>
      </c>
      <c r="AC535" s="120"/>
    </row>
    <row r="536" spans="1:31" ht="31.5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48" t="s">
        <v>134</v>
      </c>
      <c r="S536" s="153" t="s">
        <v>31</v>
      </c>
      <c r="T536" s="4">
        <f t="shared" ref="T536:Y536" si="109">T540</f>
        <v>10473.4</v>
      </c>
      <c r="U536" s="4">
        <f t="shared" si="109"/>
        <v>4682.5</v>
      </c>
      <c r="V536" s="4">
        <f t="shared" si="109"/>
        <v>4156.2</v>
      </c>
      <c r="W536" s="4">
        <f t="shared" si="109"/>
        <v>5575.6</v>
      </c>
      <c r="X536" s="4">
        <f t="shared" si="109"/>
        <v>6840.3</v>
      </c>
      <c r="Y536" s="4">
        <f t="shared" si="109"/>
        <v>6840.3</v>
      </c>
      <c r="Z536" s="4">
        <f t="shared" ref="Z536" si="110">Z540</f>
        <v>6840.3</v>
      </c>
      <c r="AA536" s="5">
        <f t="shared" si="101"/>
        <v>45408.6</v>
      </c>
      <c r="AB536" s="153">
        <v>2024</v>
      </c>
      <c r="AC536" s="33"/>
    </row>
    <row r="537" spans="1:31" ht="31.5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48" t="s">
        <v>135</v>
      </c>
      <c r="S537" s="153" t="s">
        <v>50</v>
      </c>
      <c r="T537" s="44">
        <f t="shared" ref="T537:Y537" si="111">T560</f>
        <v>450</v>
      </c>
      <c r="U537" s="44">
        <f t="shared" si="111"/>
        <v>450</v>
      </c>
      <c r="V537" s="44">
        <f t="shared" si="111"/>
        <v>0</v>
      </c>
      <c r="W537" s="44">
        <f t="shared" si="111"/>
        <v>0</v>
      </c>
      <c r="X537" s="44">
        <f t="shared" si="111"/>
        <v>0</v>
      </c>
      <c r="Y537" s="44">
        <f t="shared" si="111"/>
        <v>0</v>
      </c>
      <c r="Z537" s="44">
        <f t="shared" ref="Z537" si="112">Z560</f>
        <v>0</v>
      </c>
      <c r="AA537" s="45">
        <f t="shared" ref="AA537:AA538" si="113">SUM(T537:Z537)</f>
        <v>900</v>
      </c>
      <c r="AB537" s="153">
        <v>2019</v>
      </c>
      <c r="AC537" s="33"/>
    </row>
    <row r="538" spans="1:31" ht="46.1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48" t="s">
        <v>136</v>
      </c>
      <c r="S538" s="41" t="s">
        <v>38</v>
      </c>
      <c r="T538" s="44">
        <f t="shared" ref="T538:V538" si="114">T581</f>
        <v>27</v>
      </c>
      <c r="U538" s="44">
        <f t="shared" si="114"/>
        <v>4</v>
      </c>
      <c r="V538" s="44">
        <f t="shared" si="114"/>
        <v>16</v>
      </c>
      <c r="W538" s="44">
        <f>W541</f>
        <v>2</v>
      </c>
      <c r="X538" s="44">
        <f t="shared" ref="X538:Z538" si="115">X541</f>
        <v>14</v>
      </c>
      <c r="Y538" s="44">
        <f t="shared" si="115"/>
        <v>14</v>
      </c>
      <c r="Z538" s="44">
        <f t="shared" si="115"/>
        <v>14</v>
      </c>
      <c r="AA538" s="45">
        <f t="shared" si="113"/>
        <v>91</v>
      </c>
      <c r="AB538" s="41">
        <v>2024</v>
      </c>
      <c r="AC538" s="33"/>
    </row>
    <row r="539" spans="1:31" ht="33.6" customHeight="1" x14ac:dyDescent="0.25">
      <c r="A539" s="54"/>
      <c r="B539" s="54"/>
      <c r="C539" s="54"/>
      <c r="D539" s="54" t="s">
        <v>18</v>
      </c>
      <c r="E539" s="54" t="s">
        <v>21</v>
      </c>
      <c r="F539" s="54" t="s">
        <v>18</v>
      </c>
      <c r="G539" s="54" t="s">
        <v>22</v>
      </c>
      <c r="H539" s="54" t="s">
        <v>19</v>
      </c>
      <c r="I539" s="54" t="s">
        <v>24</v>
      </c>
      <c r="J539" s="54" t="s">
        <v>18</v>
      </c>
      <c r="K539" s="54" t="s">
        <v>18</v>
      </c>
      <c r="L539" s="54" t="s">
        <v>22</v>
      </c>
      <c r="M539" s="54" t="s">
        <v>43</v>
      </c>
      <c r="N539" s="54" t="s">
        <v>43</v>
      </c>
      <c r="O539" s="54" t="s">
        <v>43</v>
      </c>
      <c r="P539" s="54" t="s">
        <v>43</v>
      </c>
      <c r="Q539" s="54" t="s">
        <v>43</v>
      </c>
      <c r="R539" s="77" t="s">
        <v>137</v>
      </c>
      <c r="S539" s="58" t="s">
        <v>0</v>
      </c>
      <c r="T539" s="59">
        <f>T542+T548+T545+T551</f>
        <v>5760.9</v>
      </c>
      <c r="U539" s="59">
        <f t="shared" ref="U539:Y539" si="116">U542+U548+U545+U551</f>
        <v>5337.7</v>
      </c>
      <c r="V539" s="59">
        <f>V542+V548+V545+V551</f>
        <v>3171</v>
      </c>
      <c r="W539" s="59">
        <f t="shared" si="116"/>
        <v>3490.5999999999995</v>
      </c>
      <c r="X539" s="59">
        <f t="shared" si="116"/>
        <v>4311.8</v>
      </c>
      <c r="Y539" s="59">
        <f t="shared" si="116"/>
        <v>4484</v>
      </c>
      <c r="Z539" s="59">
        <f t="shared" ref="Z539" si="117">Z542+Z548+Z545+Z551</f>
        <v>4484</v>
      </c>
      <c r="AA539" s="59">
        <f t="shared" ref="AA539:AA557" si="118">SUM(T539:Z539)</f>
        <v>31039.999999999996</v>
      </c>
      <c r="AB539" s="58">
        <v>2024</v>
      </c>
      <c r="AC539" s="120"/>
    </row>
    <row r="540" spans="1:31" ht="31.5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5" t="s">
        <v>134</v>
      </c>
      <c r="S540" s="153" t="s">
        <v>31</v>
      </c>
      <c r="T540" s="3">
        <f>T543+T546+T549+T552</f>
        <v>10473.4</v>
      </c>
      <c r="U540" s="3">
        <f t="shared" ref="U540:Y540" si="119">U543+U546+U549+U552</f>
        <v>4682.5</v>
      </c>
      <c r="V540" s="3">
        <f t="shared" si="119"/>
        <v>4156.2</v>
      </c>
      <c r="W540" s="3">
        <f t="shared" si="119"/>
        <v>5575.6</v>
      </c>
      <c r="X540" s="3">
        <f>X543+X546+X549+X552</f>
        <v>6840.3</v>
      </c>
      <c r="Y540" s="3">
        <f t="shared" si="119"/>
        <v>6840.3</v>
      </c>
      <c r="Z540" s="3">
        <f t="shared" ref="Z540:Z541" si="120">Z543+Z546+Z549+Z552</f>
        <v>6840.3</v>
      </c>
      <c r="AA540" s="5">
        <f t="shared" si="118"/>
        <v>45408.6</v>
      </c>
      <c r="AB540" s="41">
        <v>2024</v>
      </c>
      <c r="AC540" s="123"/>
      <c r="AD540" s="102"/>
    </row>
    <row r="541" spans="1:31" ht="47.25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5" t="s">
        <v>333</v>
      </c>
      <c r="S541" s="153" t="s">
        <v>38</v>
      </c>
      <c r="T541" s="44">
        <f>T544+T547+T550+T553</f>
        <v>0</v>
      </c>
      <c r="U541" s="44">
        <f t="shared" ref="U541:Y541" si="121">U544+U547+U550+U553</f>
        <v>0</v>
      </c>
      <c r="V541" s="44">
        <f t="shared" si="121"/>
        <v>0</v>
      </c>
      <c r="W541" s="44">
        <f t="shared" si="121"/>
        <v>2</v>
      </c>
      <c r="X541" s="44">
        <f t="shared" si="121"/>
        <v>14</v>
      </c>
      <c r="Y541" s="44">
        <f t="shared" si="121"/>
        <v>14</v>
      </c>
      <c r="Z541" s="44">
        <f t="shared" si="120"/>
        <v>14</v>
      </c>
      <c r="AA541" s="45">
        <f t="shared" si="118"/>
        <v>44</v>
      </c>
      <c r="AB541" s="41">
        <v>2024</v>
      </c>
      <c r="AC541" s="123"/>
      <c r="AD541" s="102"/>
    </row>
    <row r="542" spans="1:31" ht="31.5" x14ac:dyDescent="0.25">
      <c r="A542" s="54" t="s">
        <v>18</v>
      </c>
      <c r="B542" s="54" t="s">
        <v>18</v>
      </c>
      <c r="C542" s="54" t="s">
        <v>22</v>
      </c>
      <c r="D542" s="54" t="s">
        <v>18</v>
      </c>
      <c r="E542" s="54" t="s">
        <v>21</v>
      </c>
      <c r="F542" s="54" t="s">
        <v>18</v>
      </c>
      <c r="G542" s="54" t="s">
        <v>22</v>
      </c>
      <c r="H542" s="54" t="s">
        <v>19</v>
      </c>
      <c r="I542" s="54" t="s">
        <v>24</v>
      </c>
      <c r="J542" s="54" t="s">
        <v>18</v>
      </c>
      <c r="K542" s="54" t="s">
        <v>18</v>
      </c>
      <c r="L542" s="54" t="s">
        <v>22</v>
      </c>
      <c r="M542" s="54" t="s">
        <v>43</v>
      </c>
      <c r="N542" s="54" t="s">
        <v>43</v>
      </c>
      <c r="O542" s="54" t="s">
        <v>43</v>
      </c>
      <c r="P542" s="54" t="s">
        <v>43</v>
      </c>
      <c r="Q542" s="54" t="s">
        <v>43</v>
      </c>
      <c r="R542" s="77" t="s">
        <v>138</v>
      </c>
      <c r="S542" s="55" t="s">
        <v>0</v>
      </c>
      <c r="T542" s="1">
        <f>3617.1-376.2-40-150</f>
        <v>3050.9</v>
      </c>
      <c r="U542" s="1">
        <f>2917.1-100</f>
        <v>2817.1</v>
      </c>
      <c r="V542" s="1">
        <v>1090.5999999999999</v>
      </c>
      <c r="W542" s="1">
        <f>2417.1-692.3-89.8</f>
        <v>1635</v>
      </c>
      <c r="X542" s="1">
        <v>2417.1</v>
      </c>
      <c r="Y542" s="1">
        <v>2417.1</v>
      </c>
      <c r="Z542" s="1">
        <v>2417.1</v>
      </c>
      <c r="AA542" s="59">
        <f t="shared" si="118"/>
        <v>15844.900000000001</v>
      </c>
      <c r="AB542" s="58">
        <v>2024</v>
      </c>
      <c r="AC542" s="119"/>
      <c r="AD542" s="102"/>
      <c r="AE542" s="102"/>
    </row>
    <row r="543" spans="1:31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61" t="s">
        <v>334</v>
      </c>
      <c r="S543" s="153" t="s">
        <v>31</v>
      </c>
      <c r="T543" s="3">
        <v>4849</v>
      </c>
      <c r="U543" s="3">
        <f>4307-1114</f>
        <v>3193</v>
      </c>
      <c r="V543" s="3">
        <v>1569</v>
      </c>
      <c r="W543" s="3">
        <v>2700</v>
      </c>
      <c r="X543" s="3">
        <v>3455.3</v>
      </c>
      <c r="Y543" s="3">
        <v>3455.3</v>
      </c>
      <c r="Z543" s="3">
        <v>3455.3</v>
      </c>
      <c r="AA543" s="5">
        <f t="shared" si="118"/>
        <v>22676.899999999998</v>
      </c>
      <c r="AB543" s="41">
        <v>2024</v>
      </c>
      <c r="AC543" s="123"/>
      <c r="AD543" s="102"/>
    </row>
    <row r="544" spans="1:31" ht="48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61" t="s">
        <v>335</v>
      </c>
      <c r="S544" s="153" t="s">
        <v>38</v>
      </c>
      <c r="T544" s="44">
        <v>0</v>
      </c>
      <c r="U544" s="44">
        <v>0</v>
      </c>
      <c r="V544" s="44">
        <v>0</v>
      </c>
      <c r="W544" s="44">
        <v>0</v>
      </c>
      <c r="X544" s="44">
        <v>4</v>
      </c>
      <c r="Y544" s="44">
        <v>4</v>
      </c>
      <c r="Z544" s="44">
        <v>4</v>
      </c>
      <c r="AA544" s="45">
        <f t="shared" si="118"/>
        <v>12</v>
      </c>
      <c r="AB544" s="41">
        <v>2024</v>
      </c>
      <c r="AC544" s="123"/>
      <c r="AD544" s="102"/>
    </row>
    <row r="545" spans="1:34" ht="31.5" x14ac:dyDescent="0.25">
      <c r="A545" s="54" t="s">
        <v>18</v>
      </c>
      <c r="B545" s="54" t="s">
        <v>18</v>
      </c>
      <c r="C545" s="54" t="s">
        <v>24</v>
      </c>
      <c r="D545" s="54" t="s">
        <v>18</v>
      </c>
      <c r="E545" s="54" t="s">
        <v>21</v>
      </c>
      <c r="F545" s="54" t="s">
        <v>18</v>
      </c>
      <c r="G545" s="54" t="s">
        <v>22</v>
      </c>
      <c r="H545" s="54" t="s">
        <v>19</v>
      </c>
      <c r="I545" s="54" t="s">
        <v>24</v>
      </c>
      <c r="J545" s="54" t="s">
        <v>18</v>
      </c>
      <c r="K545" s="54" t="s">
        <v>18</v>
      </c>
      <c r="L545" s="54" t="s">
        <v>22</v>
      </c>
      <c r="M545" s="54" t="s">
        <v>43</v>
      </c>
      <c r="N545" s="54" t="s">
        <v>43</v>
      </c>
      <c r="O545" s="54" t="s">
        <v>43</v>
      </c>
      <c r="P545" s="54" t="s">
        <v>43</v>
      </c>
      <c r="Q545" s="54" t="s">
        <v>43</v>
      </c>
      <c r="R545" s="77" t="s">
        <v>139</v>
      </c>
      <c r="S545" s="55" t="s">
        <v>0</v>
      </c>
      <c r="T545" s="1">
        <f>398.5-63.6-24.8</f>
        <v>310.09999999999997</v>
      </c>
      <c r="U545" s="1">
        <f>398.5-18.9</f>
        <v>379.6</v>
      </c>
      <c r="V545" s="1">
        <f>398.5-27.6</f>
        <v>370.9</v>
      </c>
      <c r="W545" s="1">
        <f>399.6-9.9</f>
        <v>389.70000000000005</v>
      </c>
      <c r="X545" s="1">
        <v>399.6</v>
      </c>
      <c r="Y545" s="1">
        <v>399.6</v>
      </c>
      <c r="Z545" s="1">
        <v>399.6</v>
      </c>
      <c r="AA545" s="59">
        <f t="shared" si="118"/>
        <v>2649.1</v>
      </c>
      <c r="AB545" s="58">
        <v>2024</v>
      </c>
      <c r="AC545" s="119"/>
      <c r="AD545" s="102"/>
    </row>
    <row r="546" spans="1:34" ht="33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61" t="s">
        <v>336</v>
      </c>
      <c r="S546" s="153" t="s">
        <v>31</v>
      </c>
      <c r="T546" s="4">
        <v>421.4</v>
      </c>
      <c r="U546" s="4">
        <v>195</v>
      </c>
      <c r="V546" s="4">
        <v>554</v>
      </c>
      <c r="W546" s="3">
        <v>447</v>
      </c>
      <c r="X546" s="3">
        <v>591</v>
      </c>
      <c r="Y546" s="3">
        <v>591</v>
      </c>
      <c r="Z546" s="3">
        <v>591</v>
      </c>
      <c r="AA546" s="6">
        <f t="shared" si="118"/>
        <v>3390.4</v>
      </c>
      <c r="AB546" s="41">
        <v>2024</v>
      </c>
      <c r="AC546" s="123"/>
      <c r="AD546" s="102"/>
    </row>
    <row r="547" spans="1:34" ht="48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61" t="s">
        <v>337</v>
      </c>
      <c r="S547" s="153" t="s">
        <v>38</v>
      </c>
      <c r="T547" s="2">
        <v>0</v>
      </c>
      <c r="U547" s="2">
        <v>0</v>
      </c>
      <c r="V547" s="2">
        <v>0</v>
      </c>
      <c r="W547" s="44">
        <v>0</v>
      </c>
      <c r="X547" s="44">
        <v>2</v>
      </c>
      <c r="Y547" s="44">
        <v>2</v>
      </c>
      <c r="Z547" s="44">
        <v>2</v>
      </c>
      <c r="AA547" s="49">
        <f t="shared" ref="AA547" si="122">SUM(T547:Z547)</f>
        <v>6</v>
      </c>
      <c r="AB547" s="41">
        <v>2024</v>
      </c>
      <c r="AC547" s="123"/>
      <c r="AD547" s="102"/>
    </row>
    <row r="548" spans="1:34" ht="31.5" x14ac:dyDescent="0.25">
      <c r="A548" s="54" t="s">
        <v>18</v>
      </c>
      <c r="B548" s="54" t="s">
        <v>18</v>
      </c>
      <c r="C548" s="54" t="s">
        <v>21</v>
      </c>
      <c r="D548" s="54" t="s">
        <v>18</v>
      </c>
      <c r="E548" s="54" t="s">
        <v>21</v>
      </c>
      <c r="F548" s="54" t="s">
        <v>18</v>
      </c>
      <c r="G548" s="54" t="s">
        <v>22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22</v>
      </c>
      <c r="M548" s="54" t="s">
        <v>43</v>
      </c>
      <c r="N548" s="54" t="s">
        <v>43</v>
      </c>
      <c r="O548" s="54" t="s">
        <v>43</v>
      </c>
      <c r="P548" s="54" t="s">
        <v>43</v>
      </c>
      <c r="Q548" s="54" t="s">
        <v>43</v>
      </c>
      <c r="R548" s="69" t="s">
        <v>140</v>
      </c>
      <c r="S548" s="55" t="s">
        <v>0</v>
      </c>
      <c r="T548" s="1">
        <f>1961.8-500-47.8</f>
        <v>1414</v>
      </c>
      <c r="U548" s="1">
        <f>1163-0.4</f>
        <v>1162.5999999999999</v>
      </c>
      <c r="V548" s="1">
        <f>1165.6-57.2</f>
        <v>1108.3999999999999</v>
      </c>
      <c r="W548" s="1">
        <f>1166.9-121.7</f>
        <v>1045.2</v>
      </c>
      <c r="X548" s="1">
        <v>1166.9000000000001</v>
      </c>
      <c r="Y548" s="1">
        <v>1166.9000000000001</v>
      </c>
      <c r="Z548" s="1">
        <v>1166.9000000000001</v>
      </c>
      <c r="AA548" s="59">
        <f t="shared" si="118"/>
        <v>8230.9</v>
      </c>
      <c r="AB548" s="58">
        <v>2024</v>
      </c>
      <c r="AC548" s="119"/>
      <c r="AD548" s="102"/>
    </row>
    <row r="549" spans="1:34" ht="31.5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61" t="s">
        <v>345</v>
      </c>
      <c r="S549" s="153" t="s">
        <v>31</v>
      </c>
      <c r="T549" s="4">
        <v>3300</v>
      </c>
      <c r="U549" s="4">
        <v>1194.5</v>
      </c>
      <c r="V549" s="4">
        <v>1600</v>
      </c>
      <c r="W549" s="3">
        <v>1904.6</v>
      </c>
      <c r="X549" s="3">
        <v>2225</v>
      </c>
      <c r="Y549" s="3">
        <v>2225</v>
      </c>
      <c r="Z549" s="3">
        <v>2225</v>
      </c>
      <c r="AA549" s="5">
        <f t="shared" si="118"/>
        <v>14674.1</v>
      </c>
      <c r="AB549" s="41">
        <v>2024</v>
      </c>
      <c r="AC549" s="123"/>
      <c r="AD549" s="102"/>
    </row>
    <row r="550" spans="1:34" ht="47.2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61" t="s">
        <v>346</v>
      </c>
      <c r="S550" s="153" t="s">
        <v>38</v>
      </c>
      <c r="T550" s="2">
        <v>0</v>
      </c>
      <c r="U550" s="2">
        <v>0</v>
      </c>
      <c r="V550" s="2">
        <v>0</v>
      </c>
      <c r="W550" s="44">
        <v>1</v>
      </c>
      <c r="X550" s="44">
        <v>3</v>
      </c>
      <c r="Y550" s="44">
        <v>3</v>
      </c>
      <c r="Z550" s="44">
        <v>3</v>
      </c>
      <c r="AA550" s="45">
        <f t="shared" ref="AA550" si="123">SUM(T550:Z550)</f>
        <v>10</v>
      </c>
      <c r="AB550" s="41">
        <v>2024</v>
      </c>
      <c r="AC550" s="139"/>
      <c r="AD550" s="102"/>
    </row>
    <row r="551" spans="1:34" ht="31.5" x14ac:dyDescent="0.25">
      <c r="A551" s="54" t="s">
        <v>18</v>
      </c>
      <c r="B551" s="54" t="s">
        <v>18</v>
      </c>
      <c r="C551" s="54" t="s">
        <v>25</v>
      </c>
      <c r="D551" s="54" t="s">
        <v>18</v>
      </c>
      <c r="E551" s="54" t="s">
        <v>21</v>
      </c>
      <c r="F551" s="54" t="s">
        <v>18</v>
      </c>
      <c r="G551" s="54" t="s">
        <v>22</v>
      </c>
      <c r="H551" s="54" t="s">
        <v>19</v>
      </c>
      <c r="I551" s="54" t="s">
        <v>24</v>
      </c>
      <c r="J551" s="54" t="s">
        <v>18</v>
      </c>
      <c r="K551" s="54" t="s">
        <v>18</v>
      </c>
      <c r="L551" s="54" t="s">
        <v>22</v>
      </c>
      <c r="M551" s="54" t="s">
        <v>43</v>
      </c>
      <c r="N551" s="54" t="s">
        <v>43</v>
      </c>
      <c r="O551" s="54" t="s">
        <v>43</v>
      </c>
      <c r="P551" s="54" t="s">
        <v>43</v>
      </c>
      <c r="Q551" s="54" t="s">
        <v>43</v>
      </c>
      <c r="R551" s="69" t="s">
        <v>141</v>
      </c>
      <c r="S551" s="55" t="s">
        <v>0</v>
      </c>
      <c r="T551" s="1">
        <f>1502-455.3-60.8</f>
        <v>985.90000000000009</v>
      </c>
      <c r="U551" s="1">
        <f>1000-21.6</f>
        <v>978.4</v>
      </c>
      <c r="V551" s="1">
        <f>700-98.9</f>
        <v>601.1</v>
      </c>
      <c r="W551" s="1">
        <f>500.4-79.7</f>
        <v>420.7</v>
      </c>
      <c r="X551" s="1">
        <v>328.2</v>
      </c>
      <c r="Y551" s="1">
        <v>500.4</v>
      </c>
      <c r="Z551" s="1">
        <v>500.4</v>
      </c>
      <c r="AA551" s="59">
        <f t="shared" si="118"/>
        <v>4315.0999999999995</v>
      </c>
      <c r="AB551" s="58">
        <v>2024</v>
      </c>
      <c r="AC551" s="120"/>
      <c r="AD551" s="12"/>
    </row>
    <row r="552" spans="1:34" ht="31.5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40" t="s">
        <v>347</v>
      </c>
      <c r="S552" s="153" t="s">
        <v>31</v>
      </c>
      <c r="T552" s="3">
        <v>1903</v>
      </c>
      <c r="U552" s="3">
        <v>100</v>
      </c>
      <c r="V552" s="3">
        <v>433.2</v>
      </c>
      <c r="W552" s="3">
        <v>524</v>
      </c>
      <c r="X552" s="3">
        <v>569</v>
      </c>
      <c r="Y552" s="3">
        <v>569</v>
      </c>
      <c r="Z552" s="3">
        <v>569</v>
      </c>
      <c r="AA552" s="5">
        <f t="shared" si="118"/>
        <v>4667.2</v>
      </c>
      <c r="AB552" s="41">
        <v>2024</v>
      </c>
      <c r="AC552" s="123"/>
      <c r="AD552" s="102"/>
    </row>
    <row r="553" spans="1:34" ht="47.25" customHeight="1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61" t="s">
        <v>348</v>
      </c>
      <c r="S553" s="153" t="s">
        <v>38</v>
      </c>
      <c r="T553" s="44">
        <v>0</v>
      </c>
      <c r="U553" s="44">
        <v>0</v>
      </c>
      <c r="V553" s="44">
        <v>0</v>
      </c>
      <c r="W553" s="44">
        <v>1</v>
      </c>
      <c r="X553" s="44">
        <v>5</v>
      </c>
      <c r="Y553" s="44">
        <v>5</v>
      </c>
      <c r="Z553" s="44">
        <v>5</v>
      </c>
      <c r="AA553" s="45">
        <f t="shared" ref="AA553" si="124">SUM(T553:Z553)</f>
        <v>16</v>
      </c>
      <c r="AB553" s="41">
        <v>2024</v>
      </c>
      <c r="AC553" s="139"/>
      <c r="AD553" s="102"/>
    </row>
    <row r="554" spans="1:34" ht="33" customHeight="1" x14ac:dyDescent="0.25">
      <c r="A554" s="54" t="s">
        <v>18</v>
      </c>
      <c r="B554" s="54" t="s">
        <v>19</v>
      </c>
      <c r="C554" s="54" t="s">
        <v>20</v>
      </c>
      <c r="D554" s="54" t="s">
        <v>18</v>
      </c>
      <c r="E554" s="54" t="s">
        <v>24</v>
      </c>
      <c r="F554" s="54" t="s">
        <v>18</v>
      </c>
      <c r="G554" s="54" t="s">
        <v>21</v>
      </c>
      <c r="H554" s="54" t="s">
        <v>19</v>
      </c>
      <c r="I554" s="54" t="s">
        <v>24</v>
      </c>
      <c r="J554" s="54" t="s">
        <v>18</v>
      </c>
      <c r="K554" s="54" t="s">
        <v>18</v>
      </c>
      <c r="L554" s="54" t="s">
        <v>22</v>
      </c>
      <c r="M554" s="54" t="s">
        <v>43</v>
      </c>
      <c r="N554" s="54" t="s">
        <v>43</v>
      </c>
      <c r="O554" s="54" t="s">
        <v>43</v>
      </c>
      <c r="P554" s="54" t="s">
        <v>43</v>
      </c>
      <c r="Q554" s="54" t="s">
        <v>43</v>
      </c>
      <c r="R554" s="69" t="s">
        <v>368</v>
      </c>
      <c r="S554" s="58" t="s">
        <v>0</v>
      </c>
      <c r="T554" s="59">
        <v>0</v>
      </c>
      <c r="U554" s="59">
        <v>6000</v>
      </c>
      <c r="V554" s="59">
        <v>0</v>
      </c>
      <c r="W554" s="59">
        <v>0</v>
      </c>
      <c r="X554" s="59">
        <v>0</v>
      </c>
      <c r="Y554" s="59">
        <v>0</v>
      </c>
      <c r="Z554" s="59">
        <v>0</v>
      </c>
      <c r="AA554" s="59">
        <f>T554+U554+V554+W554+X554+Y554</f>
        <v>6000</v>
      </c>
      <c r="AB554" s="58">
        <v>2019</v>
      </c>
      <c r="AC554" s="33"/>
    </row>
    <row r="555" spans="1:34" s="72" customFormat="1" ht="47.25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40" t="s">
        <v>311</v>
      </c>
      <c r="S555" s="41" t="s">
        <v>38</v>
      </c>
      <c r="T555" s="41">
        <v>0</v>
      </c>
      <c r="U555" s="41">
        <v>1</v>
      </c>
      <c r="V555" s="41">
        <v>0</v>
      </c>
      <c r="W555" s="41">
        <v>0</v>
      </c>
      <c r="X555" s="41">
        <v>0</v>
      </c>
      <c r="Y555" s="41">
        <v>0</v>
      </c>
      <c r="Z555" s="41">
        <v>0</v>
      </c>
      <c r="AA555" s="49">
        <f>U555</f>
        <v>1</v>
      </c>
      <c r="AB555" s="41">
        <v>2019</v>
      </c>
      <c r="AC555" s="111"/>
    </row>
    <row r="556" spans="1:34" s="145" customFormat="1" ht="46.9" hidden="1" customHeight="1" x14ac:dyDescent="0.25">
      <c r="A556" s="21" t="s">
        <v>18</v>
      </c>
      <c r="B556" s="21" t="s">
        <v>24</v>
      </c>
      <c r="C556" s="21" t="s">
        <v>22</v>
      </c>
      <c r="D556" s="21" t="s">
        <v>18</v>
      </c>
      <c r="E556" s="21" t="s">
        <v>21</v>
      </c>
      <c r="F556" s="21" t="s">
        <v>18</v>
      </c>
      <c r="G556" s="21" t="s">
        <v>22</v>
      </c>
      <c r="H556" s="21" t="s">
        <v>19</v>
      </c>
      <c r="I556" s="21" t="s">
        <v>24</v>
      </c>
      <c r="J556" s="21" t="s">
        <v>18</v>
      </c>
      <c r="K556" s="21" t="s">
        <v>18</v>
      </c>
      <c r="L556" s="21" t="s">
        <v>22</v>
      </c>
      <c r="M556" s="21" t="s">
        <v>43</v>
      </c>
      <c r="N556" s="21" t="s">
        <v>43</v>
      </c>
      <c r="O556" s="21" t="s">
        <v>43</v>
      </c>
      <c r="P556" s="21" t="s">
        <v>43</v>
      </c>
      <c r="Q556" s="21" t="s">
        <v>43</v>
      </c>
      <c r="R556" s="143" t="s">
        <v>351</v>
      </c>
      <c r="S556" s="65" t="s">
        <v>0</v>
      </c>
      <c r="T556" s="144">
        <v>0</v>
      </c>
      <c r="U556" s="144">
        <v>0</v>
      </c>
      <c r="V556" s="144">
        <v>0</v>
      </c>
      <c r="W556" s="144">
        <v>0</v>
      </c>
      <c r="X556" s="144">
        <v>0</v>
      </c>
      <c r="Y556" s="144">
        <v>0</v>
      </c>
      <c r="Z556" s="144">
        <v>0</v>
      </c>
      <c r="AA556" s="24">
        <f t="shared" si="118"/>
        <v>0</v>
      </c>
      <c r="AB556" s="23">
        <v>2024</v>
      </c>
      <c r="AC556" s="33"/>
    </row>
    <row r="557" spans="1:34" s="145" customFormat="1" ht="31.15" hidden="1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146" t="s">
        <v>352</v>
      </c>
      <c r="S557" s="65" t="s">
        <v>31</v>
      </c>
      <c r="T557" s="144">
        <v>0</v>
      </c>
      <c r="U557" s="144">
        <v>0</v>
      </c>
      <c r="V557" s="144">
        <v>0</v>
      </c>
      <c r="W557" s="144">
        <v>0</v>
      </c>
      <c r="X557" s="144">
        <v>0</v>
      </c>
      <c r="Y557" s="144">
        <v>0</v>
      </c>
      <c r="Z557" s="144">
        <v>0</v>
      </c>
      <c r="AA557" s="24">
        <f t="shared" si="118"/>
        <v>0</v>
      </c>
      <c r="AB557" s="65">
        <v>2024</v>
      </c>
      <c r="AC557" s="120"/>
      <c r="AD557" s="147"/>
      <c r="AE557" s="148"/>
      <c r="AF557" s="148"/>
      <c r="AG557" s="148"/>
      <c r="AH557" s="149"/>
    </row>
    <row r="558" spans="1:34" ht="0.75" hidden="1" customHeight="1" x14ac:dyDescent="0.25">
      <c r="A558" s="54"/>
      <c r="B558" s="54"/>
      <c r="C558" s="54"/>
      <c r="D558" s="54" t="s">
        <v>18</v>
      </c>
      <c r="E558" s="54" t="s">
        <v>21</v>
      </c>
      <c r="F558" s="54" t="s">
        <v>18</v>
      </c>
      <c r="G558" s="54" t="s">
        <v>22</v>
      </c>
      <c r="H558" s="54" t="s">
        <v>18</v>
      </c>
      <c r="I558" s="54" t="s">
        <v>23</v>
      </c>
      <c r="J558" s="54" t="s">
        <v>18</v>
      </c>
      <c r="K558" s="54" t="s">
        <v>18</v>
      </c>
      <c r="L558" s="54" t="s">
        <v>20</v>
      </c>
      <c r="M558" s="54" t="s">
        <v>19</v>
      </c>
      <c r="N558" s="54" t="s">
        <v>18</v>
      </c>
      <c r="O558" s="54" t="s">
        <v>21</v>
      </c>
      <c r="P558" s="54" t="s">
        <v>21</v>
      </c>
      <c r="Q558" s="54" t="s">
        <v>18</v>
      </c>
      <c r="R558" s="165" t="s">
        <v>142</v>
      </c>
      <c r="S558" s="55" t="s">
        <v>0</v>
      </c>
      <c r="T558" s="1">
        <f t="shared" ref="T558:Y559" si="125">T561+T564+T567+T570</f>
        <v>1308.2000000000003</v>
      </c>
      <c r="U558" s="1">
        <f t="shared" si="125"/>
        <v>1308.2000000000003</v>
      </c>
      <c r="V558" s="1">
        <f t="shared" si="125"/>
        <v>1308.2000000000003</v>
      </c>
      <c r="W558" s="1">
        <f t="shared" si="125"/>
        <v>1308.2000000000003</v>
      </c>
      <c r="X558" s="1">
        <f t="shared" si="125"/>
        <v>1308.2000000000003</v>
      </c>
      <c r="Y558" s="1">
        <f t="shared" si="125"/>
        <v>1308.2000000000003</v>
      </c>
      <c r="Z558" s="1">
        <f t="shared" ref="Z558" si="126">Z561+Z564+Z567+Z570</f>
        <v>1308.2000000000003</v>
      </c>
      <c r="AA558" s="59">
        <f>T558+U558+V558+W558+X558+Y558</f>
        <v>7849.2000000000025</v>
      </c>
      <c r="AB558" s="73">
        <v>2016</v>
      </c>
      <c r="AC558" s="33"/>
      <c r="AD558" s="12"/>
      <c r="AE558" s="12"/>
    </row>
    <row r="559" spans="1:34" ht="31.15" customHeight="1" x14ac:dyDescent="0.25">
      <c r="A559" s="54"/>
      <c r="B559" s="54"/>
      <c r="C559" s="54"/>
      <c r="D559" s="54" t="s">
        <v>18</v>
      </c>
      <c r="E559" s="54" t="s">
        <v>24</v>
      </c>
      <c r="F559" s="54" t="s">
        <v>18</v>
      </c>
      <c r="G559" s="54" t="s">
        <v>21</v>
      </c>
      <c r="H559" s="54" t="s">
        <v>19</v>
      </c>
      <c r="I559" s="54" t="s">
        <v>24</v>
      </c>
      <c r="J559" s="54" t="s">
        <v>18</v>
      </c>
      <c r="K559" s="54" t="s">
        <v>18</v>
      </c>
      <c r="L559" s="54" t="s">
        <v>22</v>
      </c>
      <c r="M559" s="54" t="s">
        <v>19</v>
      </c>
      <c r="N559" s="54" t="s">
        <v>18</v>
      </c>
      <c r="O559" s="54" t="s">
        <v>21</v>
      </c>
      <c r="P559" s="54" t="s">
        <v>21</v>
      </c>
      <c r="Q559" s="54" t="s">
        <v>18</v>
      </c>
      <c r="R559" s="165"/>
      <c r="S559" s="58" t="s">
        <v>0</v>
      </c>
      <c r="T559" s="59">
        <f t="shared" si="125"/>
        <v>1399.4</v>
      </c>
      <c r="U559" s="59">
        <f>U562+U565+U568+U571+U575</f>
        <v>802.7</v>
      </c>
      <c r="V559" s="59">
        <f t="shared" si="125"/>
        <v>0</v>
      </c>
      <c r="W559" s="59">
        <f t="shared" si="125"/>
        <v>0</v>
      </c>
      <c r="X559" s="59">
        <f t="shared" si="125"/>
        <v>0</v>
      </c>
      <c r="Y559" s="59">
        <f t="shared" si="125"/>
        <v>0</v>
      </c>
      <c r="Z559" s="59">
        <f t="shared" ref="Z559" si="127">Z562+Z565+Z568+Z571</f>
        <v>0</v>
      </c>
      <c r="AA559" s="59">
        <f>SUM(T559:Z559)</f>
        <v>2202.1000000000004</v>
      </c>
      <c r="AB559" s="58">
        <v>2019</v>
      </c>
      <c r="AC559" s="120"/>
      <c r="AD559" s="12"/>
      <c r="AE559" s="12"/>
    </row>
    <row r="560" spans="1:34" ht="31.5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40" t="s">
        <v>143</v>
      </c>
      <c r="S560" s="153" t="s">
        <v>50</v>
      </c>
      <c r="T560" s="44">
        <f t="shared" ref="T560:Y560" si="128">T563+T566+T569+T574</f>
        <v>450</v>
      </c>
      <c r="U560" s="44">
        <f>U563+U566+U569+U574+U579</f>
        <v>450</v>
      </c>
      <c r="V560" s="44">
        <f t="shared" si="128"/>
        <v>0</v>
      </c>
      <c r="W560" s="44">
        <f t="shared" si="128"/>
        <v>0</v>
      </c>
      <c r="X560" s="44">
        <f t="shared" si="128"/>
        <v>0</v>
      </c>
      <c r="Y560" s="44">
        <f t="shared" si="128"/>
        <v>0</v>
      </c>
      <c r="Z560" s="44">
        <f t="shared" ref="Z560" si="129">Z563+Z566+Z569+Z574</f>
        <v>0</v>
      </c>
      <c r="AA560" s="49">
        <f>SUM(T560:Z560)</f>
        <v>900</v>
      </c>
      <c r="AB560" s="41">
        <v>2019</v>
      </c>
      <c r="AC560" s="33"/>
      <c r="AD560" s="12"/>
      <c r="AE560" s="12"/>
    </row>
    <row r="561" spans="1:31" ht="36.75" hidden="1" customHeight="1" x14ac:dyDescent="0.25">
      <c r="A561" s="54" t="s">
        <v>18</v>
      </c>
      <c r="B561" s="54" t="s">
        <v>18</v>
      </c>
      <c r="C561" s="54" t="s">
        <v>22</v>
      </c>
      <c r="D561" s="54" t="s">
        <v>18</v>
      </c>
      <c r="E561" s="54" t="s">
        <v>21</v>
      </c>
      <c r="F561" s="54" t="s">
        <v>18</v>
      </c>
      <c r="G561" s="54" t="s">
        <v>22</v>
      </c>
      <c r="H561" s="54" t="s">
        <v>18</v>
      </c>
      <c r="I561" s="54" t="s">
        <v>23</v>
      </c>
      <c r="J561" s="54" t="s">
        <v>18</v>
      </c>
      <c r="K561" s="54" t="s">
        <v>18</v>
      </c>
      <c r="L561" s="54" t="s">
        <v>20</v>
      </c>
      <c r="M561" s="54" t="s">
        <v>19</v>
      </c>
      <c r="N561" s="54" t="s">
        <v>18</v>
      </c>
      <c r="O561" s="54" t="s">
        <v>21</v>
      </c>
      <c r="P561" s="54" t="s">
        <v>21</v>
      </c>
      <c r="Q561" s="54" t="s">
        <v>18</v>
      </c>
      <c r="R561" s="179" t="s">
        <v>386</v>
      </c>
      <c r="S561" s="55" t="s">
        <v>0</v>
      </c>
      <c r="T561" s="1">
        <f t="shared" ref="T561:Z561" si="130">472.4-26.9</f>
        <v>445.5</v>
      </c>
      <c r="U561" s="1">
        <f t="shared" si="130"/>
        <v>445.5</v>
      </c>
      <c r="V561" s="1">
        <f t="shared" si="130"/>
        <v>445.5</v>
      </c>
      <c r="W561" s="1">
        <f t="shared" si="130"/>
        <v>445.5</v>
      </c>
      <c r="X561" s="1">
        <f t="shared" si="130"/>
        <v>445.5</v>
      </c>
      <c r="Y561" s="1">
        <f t="shared" si="130"/>
        <v>445.5</v>
      </c>
      <c r="Z561" s="1">
        <f t="shared" si="130"/>
        <v>445.5</v>
      </c>
      <c r="AA561" s="59">
        <f t="shared" ref="AA561:AA570" si="131">T561+U561+V561+W561+X561+Y561</f>
        <v>2673</v>
      </c>
      <c r="AB561" s="41">
        <v>2023</v>
      </c>
      <c r="AC561" s="33"/>
      <c r="AD561" s="12"/>
      <c r="AE561" s="12"/>
    </row>
    <row r="562" spans="1:31" ht="32.25" customHeight="1" x14ac:dyDescent="0.25">
      <c r="A562" s="54" t="s">
        <v>18</v>
      </c>
      <c r="B562" s="54" t="s">
        <v>18</v>
      </c>
      <c r="C562" s="54" t="s">
        <v>22</v>
      </c>
      <c r="D562" s="54" t="s">
        <v>18</v>
      </c>
      <c r="E562" s="54" t="s">
        <v>24</v>
      </c>
      <c r="F562" s="54" t="s">
        <v>18</v>
      </c>
      <c r="G562" s="54" t="s">
        <v>21</v>
      </c>
      <c r="H562" s="54" t="s">
        <v>19</v>
      </c>
      <c r="I562" s="54" t="s">
        <v>24</v>
      </c>
      <c r="J562" s="54" t="s">
        <v>18</v>
      </c>
      <c r="K562" s="54" t="s">
        <v>18</v>
      </c>
      <c r="L562" s="54" t="s">
        <v>22</v>
      </c>
      <c r="M562" s="54" t="s">
        <v>19</v>
      </c>
      <c r="N562" s="54" t="s">
        <v>18</v>
      </c>
      <c r="O562" s="54" t="s">
        <v>21</v>
      </c>
      <c r="P562" s="54" t="s">
        <v>21</v>
      </c>
      <c r="Q562" s="54" t="s">
        <v>18</v>
      </c>
      <c r="R562" s="179"/>
      <c r="S562" s="55" t="s">
        <v>0</v>
      </c>
      <c r="T562" s="1">
        <f t="shared" ref="T562" si="132">445.5+45.8</f>
        <v>491.3</v>
      </c>
      <c r="U562" s="1">
        <f>445.5+45.8+47.5-415.7</f>
        <v>123.09999999999997</v>
      </c>
      <c r="V562" s="1">
        <f>445.5+45.8+53.6-544.9</f>
        <v>0</v>
      </c>
      <c r="W562" s="1">
        <f t="shared" ref="W562:X562" si="133">445.5+45.8+53.6-544.9</f>
        <v>0</v>
      </c>
      <c r="X562" s="1">
        <f t="shared" si="133"/>
        <v>0</v>
      </c>
      <c r="Y562" s="1">
        <v>0</v>
      </c>
      <c r="Z562" s="1">
        <v>0</v>
      </c>
      <c r="AA562" s="59">
        <f>SUM(T562:Z562)</f>
        <v>614.4</v>
      </c>
      <c r="AB562" s="58">
        <v>2019</v>
      </c>
      <c r="AC562" s="120"/>
    </row>
    <row r="563" spans="1:31" ht="32.25" customHeight="1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61" t="s">
        <v>145</v>
      </c>
      <c r="S563" s="153" t="s">
        <v>50</v>
      </c>
      <c r="T563" s="2">
        <v>158</v>
      </c>
      <c r="U563" s="44">
        <v>37</v>
      </c>
      <c r="V563" s="2">
        <f>154-154</f>
        <v>0</v>
      </c>
      <c r="W563" s="2">
        <v>0</v>
      </c>
      <c r="X563" s="2">
        <v>0</v>
      </c>
      <c r="Y563" s="2">
        <v>0</v>
      </c>
      <c r="Z563" s="2">
        <v>0</v>
      </c>
      <c r="AA563" s="49">
        <f>SUM(T563:Z563)</f>
        <v>195</v>
      </c>
      <c r="AB563" s="41">
        <v>2019</v>
      </c>
      <c r="AC563" s="33"/>
    </row>
    <row r="564" spans="1:31" ht="36" hidden="1" customHeight="1" x14ac:dyDescent="0.25">
      <c r="A564" s="54" t="s">
        <v>18</v>
      </c>
      <c r="B564" s="54" t="s">
        <v>18</v>
      </c>
      <c r="C564" s="54" t="s">
        <v>24</v>
      </c>
      <c r="D564" s="54" t="s">
        <v>18</v>
      </c>
      <c r="E564" s="54" t="s">
        <v>21</v>
      </c>
      <c r="F564" s="54" t="s">
        <v>18</v>
      </c>
      <c r="G564" s="54" t="s">
        <v>22</v>
      </c>
      <c r="H564" s="54" t="s">
        <v>18</v>
      </c>
      <c r="I564" s="54" t="s">
        <v>23</v>
      </c>
      <c r="J564" s="54" t="s">
        <v>18</v>
      </c>
      <c r="K564" s="54" t="s">
        <v>18</v>
      </c>
      <c r="L564" s="54" t="s">
        <v>20</v>
      </c>
      <c r="M564" s="54" t="s">
        <v>19</v>
      </c>
      <c r="N564" s="54" t="s">
        <v>18</v>
      </c>
      <c r="O564" s="54" t="s">
        <v>21</v>
      </c>
      <c r="P564" s="54" t="s">
        <v>21</v>
      </c>
      <c r="Q564" s="54" t="s">
        <v>18</v>
      </c>
      <c r="R564" s="173" t="s">
        <v>144</v>
      </c>
      <c r="S564" s="55" t="s">
        <v>0</v>
      </c>
      <c r="T564" s="1">
        <f t="shared" ref="T564:Z564" si="134">302-17.3</f>
        <v>284.7</v>
      </c>
      <c r="U564" s="1">
        <f t="shared" si="134"/>
        <v>284.7</v>
      </c>
      <c r="V564" s="1">
        <f t="shared" si="134"/>
        <v>284.7</v>
      </c>
      <c r="W564" s="1">
        <f t="shared" si="134"/>
        <v>284.7</v>
      </c>
      <c r="X564" s="1">
        <f t="shared" si="134"/>
        <v>284.7</v>
      </c>
      <c r="Y564" s="1">
        <f t="shared" si="134"/>
        <v>284.7</v>
      </c>
      <c r="Z564" s="1">
        <f t="shared" si="134"/>
        <v>284.7</v>
      </c>
      <c r="AA564" s="59">
        <f t="shared" si="131"/>
        <v>1708.2</v>
      </c>
      <c r="AB564" s="41">
        <v>2023</v>
      </c>
      <c r="AC564" s="33"/>
    </row>
    <row r="565" spans="1:31" ht="32.25" customHeight="1" x14ac:dyDescent="0.25">
      <c r="A565" s="54" t="s">
        <v>18</v>
      </c>
      <c r="B565" s="54" t="s">
        <v>18</v>
      </c>
      <c r="C565" s="54" t="s">
        <v>24</v>
      </c>
      <c r="D565" s="54" t="s">
        <v>18</v>
      </c>
      <c r="E565" s="54" t="s">
        <v>24</v>
      </c>
      <c r="F565" s="54" t="s">
        <v>18</v>
      </c>
      <c r="G565" s="54" t="s">
        <v>21</v>
      </c>
      <c r="H565" s="54" t="s">
        <v>19</v>
      </c>
      <c r="I565" s="54" t="s">
        <v>24</v>
      </c>
      <c r="J565" s="54" t="s">
        <v>18</v>
      </c>
      <c r="K565" s="54" t="s">
        <v>18</v>
      </c>
      <c r="L565" s="54" t="s">
        <v>22</v>
      </c>
      <c r="M565" s="54" t="s">
        <v>19</v>
      </c>
      <c r="N565" s="54" t="s">
        <v>18</v>
      </c>
      <c r="O565" s="54" t="s">
        <v>21</v>
      </c>
      <c r="P565" s="54" t="s">
        <v>21</v>
      </c>
      <c r="Q565" s="54" t="s">
        <v>18</v>
      </c>
      <c r="R565" s="173"/>
      <c r="S565" s="55" t="s">
        <v>0</v>
      </c>
      <c r="T565" s="1">
        <f t="shared" ref="T565" si="135">284.7-29.7</f>
        <v>255</v>
      </c>
      <c r="U565" s="1">
        <f>284.7-29.7+24.6-218.9</f>
        <v>60.700000000000017</v>
      </c>
      <c r="V565" s="1">
        <f>284.7-29.7+27.8-282.8</f>
        <v>0</v>
      </c>
      <c r="W565" s="1">
        <v>0</v>
      </c>
      <c r="X565" s="1">
        <v>0</v>
      </c>
      <c r="Y565" s="1">
        <v>0</v>
      </c>
      <c r="Z565" s="1">
        <v>0</v>
      </c>
      <c r="AA565" s="59">
        <f>SUM(T565:Z565)</f>
        <v>315.70000000000005</v>
      </c>
      <c r="AB565" s="58">
        <v>2019</v>
      </c>
      <c r="AC565" s="120"/>
    </row>
    <row r="566" spans="1:31" ht="31.5" customHeight="1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61" t="s">
        <v>146</v>
      </c>
      <c r="S566" s="153" t="s">
        <v>50</v>
      </c>
      <c r="T566" s="2">
        <v>82</v>
      </c>
      <c r="U566" s="44">
        <v>20</v>
      </c>
      <c r="V566" s="2">
        <f>82-82</f>
        <v>0</v>
      </c>
      <c r="W566" s="2">
        <v>0</v>
      </c>
      <c r="X566" s="2">
        <v>0</v>
      </c>
      <c r="Y566" s="2">
        <v>0</v>
      </c>
      <c r="Z566" s="2">
        <v>0</v>
      </c>
      <c r="AA566" s="49">
        <f>SUM(T566:Z566)</f>
        <v>102</v>
      </c>
      <c r="AB566" s="41">
        <v>2019</v>
      </c>
      <c r="AC566" s="33"/>
    </row>
    <row r="567" spans="1:31" ht="5.25" hidden="1" customHeight="1" x14ac:dyDescent="0.25">
      <c r="A567" s="54" t="s">
        <v>18</v>
      </c>
      <c r="B567" s="54" t="s">
        <v>18</v>
      </c>
      <c r="C567" s="54" t="s">
        <v>21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18</v>
      </c>
      <c r="I567" s="54" t="s">
        <v>23</v>
      </c>
      <c r="J567" s="54" t="s">
        <v>18</v>
      </c>
      <c r="K567" s="54" t="s">
        <v>18</v>
      </c>
      <c r="L567" s="54" t="s">
        <v>20</v>
      </c>
      <c r="M567" s="54" t="s">
        <v>19</v>
      </c>
      <c r="N567" s="54" t="s">
        <v>18</v>
      </c>
      <c r="O567" s="54" t="s">
        <v>21</v>
      </c>
      <c r="P567" s="54" t="s">
        <v>21</v>
      </c>
      <c r="Q567" s="54" t="s">
        <v>18</v>
      </c>
      <c r="R567" s="173" t="s">
        <v>144</v>
      </c>
      <c r="S567" s="55" t="s">
        <v>0</v>
      </c>
      <c r="T567" s="1">
        <f t="shared" ref="T567:Z567" si="136">398.8-22.7</f>
        <v>376.1</v>
      </c>
      <c r="U567" s="1">
        <f t="shared" si="136"/>
        <v>376.1</v>
      </c>
      <c r="V567" s="1">
        <f t="shared" si="136"/>
        <v>376.1</v>
      </c>
      <c r="W567" s="1">
        <f t="shared" si="136"/>
        <v>376.1</v>
      </c>
      <c r="X567" s="1">
        <f t="shared" si="136"/>
        <v>376.1</v>
      </c>
      <c r="Y567" s="1">
        <f t="shared" si="136"/>
        <v>376.1</v>
      </c>
      <c r="Z567" s="1">
        <f t="shared" si="136"/>
        <v>376.1</v>
      </c>
      <c r="AA567" s="59">
        <f t="shared" si="131"/>
        <v>2256.6</v>
      </c>
      <c r="AB567" s="41">
        <v>2023</v>
      </c>
      <c r="AC567" s="33"/>
    </row>
    <row r="568" spans="1:31" ht="33" customHeight="1" x14ac:dyDescent="0.25">
      <c r="A568" s="54" t="s">
        <v>18</v>
      </c>
      <c r="B568" s="54" t="s">
        <v>18</v>
      </c>
      <c r="C568" s="54" t="s">
        <v>21</v>
      </c>
      <c r="D568" s="54" t="s">
        <v>18</v>
      </c>
      <c r="E568" s="54" t="s">
        <v>24</v>
      </c>
      <c r="F568" s="54" t="s">
        <v>18</v>
      </c>
      <c r="G568" s="54" t="s">
        <v>21</v>
      </c>
      <c r="H568" s="54" t="s">
        <v>19</v>
      </c>
      <c r="I568" s="54" t="s">
        <v>24</v>
      </c>
      <c r="J568" s="54" t="s">
        <v>18</v>
      </c>
      <c r="K568" s="54" t="s">
        <v>18</v>
      </c>
      <c r="L568" s="54" t="s">
        <v>22</v>
      </c>
      <c r="M568" s="54" t="s">
        <v>19</v>
      </c>
      <c r="N568" s="54" t="s">
        <v>18</v>
      </c>
      <c r="O568" s="54" t="s">
        <v>21</v>
      </c>
      <c r="P568" s="54" t="s">
        <v>21</v>
      </c>
      <c r="Q568" s="54" t="s">
        <v>18</v>
      </c>
      <c r="R568" s="173"/>
      <c r="S568" s="55" t="s">
        <v>0</v>
      </c>
      <c r="T568" s="1">
        <f t="shared" ref="T568" si="137">376.1+59.3</f>
        <v>435.40000000000003</v>
      </c>
      <c r="U568" s="1">
        <f>376.1+59.3+42-370.4</f>
        <v>107.00000000000006</v>
      </c>
      <c r="V568" s="1">
        <f>376.1+59.3+47.5-482.9</f>
        <v>0</v>
      </c>
      <c r="W568" s="1">
        <v>0</v>
      </c>
      <c r="X568" s="1">
        <v>0</v>
      </c>
      <c r="Y568" s="1">
        <v>0</v>
      </c>
      <c r="Z568" s="1">
        <v>0</v>
      </c>
      <c r="AA568" s="59">
        <f>SUM(T568:Z568)</f>
        <v>542.40000000000009</v>
      </c>
      <c r="AB568" s="58">
        <v>2019</v>
      </c>
      <c r="AC568" s="33"/>
    </row>
    <row r="569" spans="1:31" ht="30.75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61" t="s">
        <v>147</v>
      </c>
      <c r="S569" s="153" t="s">
        <v>50</v>
      </c>
      <c r="T569" s="2">
        <v>140</v>
      </c>
      <c r="U569" s="44">
        <v>31</v>
      </c>
      <c r="V569" s="2">
        <f>141-141</f>
        <v>0</v>
      </c>
      <c r="W569" s="2">
        <v>0</v>
      </c>
      <c r="X569" s="2">
        <v>0</v>
      </c>
      <c r="Y569" s="2">
        <v>0</v>
      </c>
      <c r="Z569" s="2">
        <v>0</v>
      </c>
      <c r="AA569" s="49">
        <f>SUM(T569:Z569)</f>
        <v>171</v>
      </c>
      <c r="AB569" s="41">
        <v>2019</v>
      </c>
      <c r="AC569" s="33"/>
    </row>
    <row r="570" spans="1:31" ht="35.25" hidden="1" customHeight="1" x14ac:dyDescent="0.25">
      <c r="A570" s="54" t="s">
        <v>18</v>
      </c>
      <c r="B570" s="54" t="s">
        <v>18</v>
      </c>
      <c r="C570" s="54" t="s">
        <v>25</v>
      </c>
      <c r="D570" s="54" t="s">
        <v>18</v>
      </c>
      <c r="E570" s="54" t="s">
        <v>21</v>
      </c>
      <c r="F570" s="54" t="s">
        <v>18</v>
      </c>
      <c r="G570" s="54" t="s">
        <v>22</v>
      </c>
      <c r="H570" s="54" t="s">
        <v>18</v>
      </c>
      <c r="I570" s="54" t="s">
        <v>23</v>
      </c>
      <c r="J570" s="54" t="s">
        <v>18</v>
      </c>
      <c r="K570" s="54" t="s">
        <v>18</v>
      </c>
      <c r="L570" s="54" t="s">
        <v>20</v>
      </c>
      <c r="M570" s="54" t="s">
        <v>19</v>
      </c>
      <c r="N570" s="54" t="s">
        <v>18</v>
      </c>
      <c r="O570" s="54" t="s">
        <v>21</v>
      </c>
      <c r="P570" s="54" t="s">
        <v>21</v>
      </c>
      <c r="Q570" s="54" t="s">
        <v>18</v>
      </c>
      <c r="R570" s="173" t="s">
        <v>144</v>
      </c>
      <c r="S570" s="55" t="s">
        <v>0</v>
      </c>
      <c r="T570" s="1">
        <f t="shared" ref="T570:Z570" si="138">214.1-12.2</f>
        <v>201.9</v>
      </c>
      <c r="U570" s="1">
        <f t="shared" si="138"/>
        <v>201.9</v>
      </c>
      <c r="V570" s="1">
        <f t="shared" si="138"/>
        <v>201.9</v>
      </c>
      <c r="W570" s="1">
        <f t="shared" si="138"/>
        <v>201.9</v>
      </c>
      <c r="X570" s="1">
        <f t="shared" si="138"/>
        <v>201.9</v>
      </c>
      <c r="Y570" s="1">
        <f t="shared" si="138"/>
        <v>201.9</v>
      </c>
      <c r="Z570" s="1">
        <f t="shared" si="138"/>
        <v>201.9</v>
      </c>
      <c r="AA570" s="59">
        <f t="shared" si="131"/>
        <v>1211.4000000000001</v>
      </c>
      <c r="AB570" s="41">
        <v>2023</v>
      </c>
    </row>
    <row r="571" spans="1:31" ht="32.25" customHeight="1" x14ac:dyDescent="0.25">
      <c r="A571" s="54" t="s">
        <v>18</v>
      </c>
      <c r="B571" s="54" t="s">
        <v>18</v>
      </c>
      <c r="C571" s="54" t="s">
        <v>25</v>
      </c>
      <c r="D571" s="54" t="s">
        <v>18</v>
      </c>
      <c r="E571" s="54" t="s">
        <v>24</v>
      </c>
      <c r="F571" s="54" t="s">
        <v>18</v>
      </c>
      <c r="G571" s="54" t="s">
        <v>21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22</v>
      </c>
      <c r="M571" s="54" t="s">
        <v>19</v>
      </c>
      <c r="N571" s="54" t="s">
        <v>18</v>
      </c>
      <c r="O571" s="54" t="s">
        <v>21</v>
      </c>
      <c r="P571" s="54" t="s">
        <v>21</v>
      </c>
      <c r="Q571" s="54" t="s">
        <v>18</v>
      </c>
      <c r="R571" s="173"/>
      <c r="S571" s="55" t="s">
        <v>0</v>
      </c>
      <c r="T571" s="1">
        <f>201.9+15.8</f>
        <v>217.70000000000002</v>
      </c>
      <c r="U571" s="1">
        <f>201.9+15.8+1.7+19.3-186.2</f>
        <v>52.500000000000028</v>
      </c>
      <c r="V571" s="1">
        <f>201.9+15.8+1.7+22.1-241.5</f>
        <v>0</v>
      </c>
      <c r="W571" s="1">
        <v>0</v>
      </c>
      <c r="X571" s="1">
        <v>0</v>
      </c>
      <c r="Y571" s="1">
        <v>0</v>
      </c>
      <c r="Z571" s="1">
        <v>0</v>
      </c>
      <c r="AA571" s="59">
        <f>SUM(T571:Z571)</f>
        <v>270.20000000000005</v>
      </c>
      <c r="AB571" s="58">
        <v>2019</v>
      </c>
      <c r="AC571" s="33"/>
    </row>
    <row r="572" spans="1:31" ht="49.5" hidden="1" customHeight="1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40" t="s">
        <v>148</v>
      </c>
      <c r="S572" s="41" t="s">
        <v>8</v>
      </c>
      <c r="T572" s="2">
        <v>56</v>
      </c>
      <c r="U572" s="2">
        <v>56</v>
      </c>
      <c r="V572" s="2">
        <v>56</v>
      </c>
      <c r="W572" s="2">
        <v>56</v>
      </c>
      <c r="X572" s="2">
        <v>56</v>
      </c>
      <c r="Y572" s="2">
        <v>56</v>
      </c>
      <c r="Z572" s="2">
        <v>56</v>
      </c>
      <c r="AA572" s="49">
        <f>T572+U572+V572+W572+X572+Y572+Z572</f>
        <v>392</v>
      </c>
      <c r="AB572" s="41">
        <v>2024</v>
      </c>
    </row>
    <row r="573" spans="1:31" ht="64.5" hidden="1" customHeight="1" x14ac:dyDescent="0.25">
      <c r="A573" s="54" t="s">
        <v>18</v>
      </c>
      <c r="B573" s="54" t="s">
        <v>19</v>
      </c>
      <c r="C573" s="54" t="s">
        <v>24</v>
      </c>
      <c r="D573" s="54" t="s">
        <v>18</v>
      </c>
      <c r="E573" s="54" t="s">
        <v>21</v>
      </c>
      <c r="F573" s="54" t="s">
        <v>18</v>
      </c>
      <c r="G573" s="54" t="s">
        <v>22</v>
      </c>
      <c r="H573" s="54" t="s">
        <v>18</v>
      </c>
      <c r="I573" s="54" t="s">
        <v>23</v>
      </c>
      <c r="J573" s="54" t="s">
        <v>18</v>
      </c>
      <c r="K573" s="54" t="s">
        <v>18</v>
      </c>
      <c r="L573" s="54" t="s">
        <v>22</v>
      </c>
      <c r="M573" s="54" t="s">
        <v>18</v>
      </c>
      <c r="N573" s="54" t="s">
        <v>22</v>
      </c>
      <c r="O573" s="54" t="s">
        <v>22</v>
      </c>
      <c r="P573" s="54" t="s">
        <v>18</v>
      </c>
      <c r="Q573" s="54" t="s">
        <v>22</v>
      </c>
      <c r="R573" s="68" t="s">
        <v>149</v>
      </c>
      <c r="S573" s="55" t="s">
        <v>0</v>
      </c>
      <c r="T573" s="1"/>
      <c r="U573" s="1"/>
      <c r="V573" s="1"/>
      <c r="W573" s="1"/>
      <c r="X573" s="1"/>
      <c r="Y573" s="1"/>
      <c r="Z573" s="1"/>
      <c r="AA573" s="59">
        <f>T573+U573+V573+W573+X573+Y573</f>
        <v>0</v>
      </c>
      <c r="AB573" s="153">
        <v>2020</v>
      </c>
    </row>
    <row r="574" spans="1:31" ht="30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61" t="s">
        <v>148</v>
      </c>
      <c r="S574" s="153" t="s">
        <v>50</v>
      </c>
      <c r="T574" s="44">
        <v>70</v>
      </c>
      <c r="U574" s="44">
        <v>15</v>
      </c>
      <c r="V574" s="44">
        <f>68-68</f>
        <v>0</v>
      </c>
      <c r="W574" s="44">
        <v>0</v>
      </c>
      <c r="X574" s="44">
        <v>0</v>
      </c>
      <c r="Y574" s="44">
        <v>0</v>
      </c>
      <c r="Z574" s="44">
        <v>0</v>
      </c>
      <c r="AA574" s="45">
        <f t="shared" ref="AA574:AA579" si="139">SUM(T574:Z574)</f>
        <v>85</v>
      </c>
      <c r="AB574" s="41">
        <v>2019</v>
      </c>
      <c r="AC574" s="33"/>
    </row>
    <row r="575" spans="1:31" s="131" customFormat="1" ht="31.5" hidden="1" x14ac:dyDescent="0.2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165" t="s">
        <v>331</v>
      </c>
      <c r="S575" s="55" t="s">
        <v>0</v>
      </c>
      <c r="T575" s="1">
        <v>0</v>
      </c>
      <c r="U575" s="1">
        <f>U576+U577</f>
        <v>459.4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59">
        <f t="shared" si="139"/>
        <v>459.4</v>
      </c>
      <c r="AB575" s="55">
        <v>2019</v>
      </c>
      <c r="AC575" s="130"/>
    </row>
    <row r="576" spans="1:31" s="131" customFormat="1" ht="31.5" customHeight="1" x14ac:dyDescent="0.25">
      <c r="A576" s="54" t="s">
        <v>18</v>
      </c>
      <c r="B576" s="54" t="s">
        <v>19</v>
      </c>
      <c r="C576" s="54" t="s">
        <v>20</v>
      </c>
      <c r="D576" s="54" t="s">
        <v>18</v>
      </c>
      <c r="E576" s="54" t="s">
        <v>24</v>
      </c>
      <c r="F576" s="54" t="s">
        <v>18</v>
      </c>
      <c r="G576" s="54" t="s">
        <v>21</v>
      </c>
      <c r="H576" s="54" t="s">
        <v>19</v>
      </c>
      <c r="I576" s="54" t="s">
        <v>24</v>
      </c>
      <c r="J576" s="54" t="s">
        <v>18</v>
      </c>
      <c r="K576" s="54" t="s">
        <v>18</v>
      </c>
      <c r="L576" s="54" t="s">
        <v>22</v>
      </c>
      <c r="M576" s="54" t="s">
        <v>19</v>
      </c>
      <c r="N576" s="54" t="s">
        <v>18</v>
      </c>
      <c r="O576" s="54" t="s">
        <v>21</v>
      </c>
      <c r="P576" s="54" t="s">
        <v>21</v>
      </c>
      <c r="Q576" s="54" t="s">
        <v>18</v>
      </c>
      <c r="R576" s="165"/>
      <c r="S576" s="55" t="s">
        <v>0</v>
      </c>
      <c r="T576" s="1">
        <v>0</v>
      </c>
      <c r="U576" s="1">
        <v>459.4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59">
        <f t="shared" si="139"/>
        <v>459.4</v>
      </c>
      <c r="AB576" s="55">
        <v>2019</v>
      </c>
      <c r="AC576" s="130"/>
    </row>
    <row r="577" spans="1:30" s="131" customFormat="1" ht="31.5" hidden="1" x14ac:dyDescent="0.25">
      <c r="A577" s="54" t="s">
        <v>18</v>
      </c>
      <c r="B577" s="54" t="s">
        <v>19</v>
      </c>
      <c r="C577" s="54" t="s">
        <v>20</v>
      </c>
      <c r="D577" s="54" t="s">
        <v>18</v>
      </c>
      <c r="E577" s="54" t="s">
        <v>24</v>
      </c>
      <c r="F577" s="54" t="s">
        <v>18</v>
      </c>
      <c r="G577" s="54" t="s">
        <v>21</v>
      </c>
      <c r="H577" s="54" t="s">
        <v>19</v>
      </c>
      <c r="I577" s="54" t="s">
        <v>24</v>
      </c>
      <c r="J577" s="54" t="s">
        <v>18</v>
      </c>
      <c r="K577" s="54" t="s">
        <v>18</v>
      </c>
      <c r="L577" s="54" t="s">
        <v>22</v>
      </c>
      <c r="M577" s="54" t="s">
        <v>18</v>
      </c>
      <c r="N577" s="54" t="s">
        <v>18</v>
      </c>
      <c r="O577" s="54" t="s">
        <v>18</v>
      </c>
      <c r="P577" s="54" t="s">
        <v>18</v>
      </c>
      <c r="Q577" s="54" t="s">
        <v>18</v>
      </c>
      <c r="R577" s="165"/>
      <c r="S577" s="55" t="s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59">
        <f t="shared" si="139"/>
        <v>0</v>
      </c>
      <c r="AB577" s="55">
        <v>2019</v>
      </c>
      <c r="AC577" s="130"/>
    </row>
    <row r="578" spans="1:30" s="72" customFormat="1" ht="47.25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 t="s">
        <v>313</v>
      </c>
      <c r="N578" s="39"/>
      <c r="O578" s="39"/>
      <c r="P578" s="39"/>
      <c r="Q578" s="39"/>
      <c r="R578" s="40" t="s">
        <v>312</v>
      </c>
      <c r="S578" s="41" t="s">
        <v>279</v>
      </c>
      <c r="T578" s="44">
        <v>0</v>
      </c>
      <c r="U578" s="44">
        <v>175</v>
      </c>
      <c r="V578" s="44">
        <v>0</v>
      </c>
      <c r="W578" s="44">
        <v>0</v>
      </c>
      <c r="X578" s="44">
        <v>0</v>
      </c>
      <c r="Y578" s="44">
        <v>0</v>
      </c>
      <c r="Z578" s="44">
        <v>0</v>
      </c>
      <c r="AA578" s="49">
        <f t="shared" si="139"/>
        <v>175</v>
      </c>
      <c r="AB578" s="41">
        <v>2019</v>
      </c>
      <c r="AC578" s="111"/>
    </row>
    <row r="579" spans="1:30" s="72" customFormat="1" ht="32.25" customHeight="1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40" t="s">
        <v>294</v>
      </c>
      <c r="S579" s="41" t="s">
        <v>50</v>
      </c>
      <c r="T579" s="44">
        <v>0</v>
      </c>
      <c r="U579" s="44">
        <v>347</v>
      </c>
      <c r="V579" s="44">
        <v>0</v>
      </c>
      <c r="W579" s="44">
        <v>0</v>
      </c>
      <c r="X579" s="44">
        <v>0</v>
      </c>
      <c r="Y579" s="44">
        <v>0</v>
      </c>
      <c r="Z579" s="44">
        <v>0</v>
      </c>
      <c r="AA579" s="49">
        <f t="shared" si="139"/>
        <v>347</v>
      </c>
      <c r="AB579" s="41">
        <v>2019</v>
      </c>
      <c r="AC579" s="111"/>
    </row>
    <row r="580" spans="1:30" ht="47.25" customHeight="1" x14ac:dyDescent="0.25">
      <c r="A580" s="54"/>
      <c r="B580" s="54"/>
      <c r="C580" s="54"/>
      <c r="D580" s="54" t="s">
        <v>18</v>
      </c>
      <c r="E580" s="54" t="s">
        <v>21</v>
      </c>
      <c r="F580" s="54" t="s">
        <v>18</v>
      </c>
      <c r="G580" s="54" t="s">
        <v>22</v>
      </c>
      <c r="H580" s="54" t="s">
        <v>19</v>
      </c>
      <c r="I580" s="54" t="s">
        <v>24</v>
      </c>
      <c r="J580" s="54" t="s">
        <v>18</v>
      </c>
      <c r="K580" s="54" t="s">
        <v>18</v>
      </c>
      <c r="L580" s="54" t="s">
        <v>22</v>
      </c>
      <c r="M580" s="54" t="s">
        <v>43</v>
      </c>
      <c r="N580" s="54" t="s">
        <v>43</v>
      </c>
      <c r="O580" s="54" t="s">
        <v>43</v>
      </c>
      <c r="P580" s="54" t="s">
        <v>43</v>
      </c>
      <c r="Q580" s="54" t="s">
        <v>43</v>
      </c>
      <c r="R580" s="68" t="s">
        <v>150</v>
      </c>
      <c r="S580" s="58" t="s">
        <v>0</v>
      </c>
      <c r="T580" s="59">
        <f t="shared" ref="T580:Y581" si="140">T582+T584+T586+T588</f>
        <v>69.999999999999986</v>
      </c>
      <c r="U580" s="59">
        <f t="shared" si="140"/>
        <v>25.8</v>
      </c>
      <c r="V580" s="59">
        <f t="shared" si="140"/>
        <v>57.699999999999996</v>
      </c>
      <c r="W580" s="59">
        <f t="shared" si="140"/>
        <v>0</v>
      </c>
      <c r="X580" s="59">
        <f t="shared" si="140"/>
        <v>0</v>
      </c>
      <c r="Y580" s="59">
        <f t="shared" si="140"/>
        <v>0</v>
      </c>
      <c r="Z580" s="59">
        <f t="shared" ref="Z580" si="141">Z582+Z584+Z586+Z588</f>
        <v>0</v>
      </c>
      <c r="AA580" s="59">
        <f>AA582+AA584+AA586+AA588</f>
        <v>153.5</v>
      </c>
      <c r="AB580" s="58">
        <v>2020</v>
      </c>
      <c r="AC580" s="120"/>
    </row>
    <row r="581" spans="1:30" ht="4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61" t="s">
        <v>151</v>
      </c>
      <c r="S581" s="153" t="s">
        <v>38</v>
      </c>
      <c r="T581" s="44">
        <f t="shared" si="140"/>
        <v>27</v>
      </c>
      <c r="U581" s="44">
        <f t="shared" si="140"/>
        <v>4</v>
      </c>
      <c r="V581" s="44">
        <f t="shared" si="140"/>
        <v>16</v>
      </c>
      <c r="W581" s="44">
        <f t="shared" si="140"/>
        <v>0</v>
      </c>
      <c r="X581" s="44">
        <f t="shared" si="140"/>
        <v>0</v>
      </c>
      <c r="Y581" s="44">
        <f t="shared" si="140"/>
        <v>0</v>
      </c>
      <c r="Z581" s="44">
        <f>Z583+Z585+Z587+Z589</f>
        <v>0</v>
      </c>
      <c r="AA581" s="49">
        <f>T581+U581+V581+W581+X581+Y581+Z581</f>
        <v>47</v>
      </c>
      <c r="AB581" s="41">
        <v>2020</v>
      </c>
      <c r="AC581" s="33"/>
    </row>
    <row r="582" spans="1:30" ht="47.25" x14ac:dyDescent="0.25">
      <c r="A582" s="54" t="s">
        <v>18</v>
      </c>
      <c r="B582" s="54" t="s">
        <v>18</v>
      </c>
      <c r="C582" s="54" t="s">
        <v>22</v>
      </c>
      <c r="D582" s="54" t="s">
        <v>18</v>
      </c>
      <c r="E582" s="54" t="s">
        <v>21</v>
      </c>
      <c r="F582" s="54" t="s">
        <v>18</v>
      </c>
      <c r="G582" s="54" t="s">
        <v>22</v>
      </c>
      <c r="H582" s="54" t="s">
        <v>19</v>
      </c>
      <c r="I582" s="54" t="s">
        <v>24</v>
      </c>
      <c r="J582" s="54" t="s">
        <v>18</v>
      </c>
      <c r="K582" s="54" t="s">
        <v>18</v>
      </c>
      <c r="L582" s="54" t="s">
        <v>22</v>
      </c>
      <c r="M582" s="54" t="s">
        <v>43</v>
      </c>
      <c r="N582" s="54" t="s">
        <v>43</v>
      </c>
      <c r="O582" s="54" t="s">
        <v>43</v>
      </c>
      <c r="P582" s="54" t="s">
        <v>43</v>
      </c>
      <c r="Q582" s="54" t="s">
        <v>43</v>
      </c>
      <c r="R582" s="68" t="s">
        <v>152</v>
      </c>
      <c r="S582" s="55" t="s">
        <v>0</v>
      </c>
      <c r="T582" s="1">
        <f>18.2-1.8-10.9</f>
        <v>5.4999999999999982</v>
      </c>
      <c r="U582" s="1">
        <v>18.2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59">
        <f t="shared" ref="AA582:AA589" si="142">T582+U582+V582+W582+X582+Y582+Z582</f>
        <v>23.699999999999996</v>
      </c>
      <c r="AB582" s="58">
        <v>2019</v>
      </c>
      <c r="AC582" s="120"/>
    </row>
    <row r="583" spans="1:30" ht="47.25" customHeight="1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61" t="s">
        <v>153</v>
      </c>
      <c r="S583" s="153" t="s">
        <v>38</v>
      </c>
      <c r="T583" s="82">
        <v>2</v>
      </c>
      <c r="U583" s="82">
        <v>2</v>
      </c>
      <c r="V583" s="82">
        <v>0</v>
      </c>
      <c r="W583" s="82">
        <v>0</v>
      </c>
      <c r="X583" s="82">
        <v>0</v>
      </c>
      <c r="Y583" s="82">
        <v>0</v>
      </c>
      <c r="Z583" s="82">
        <v>0</v>
      </c>
      <c r="AA583" s="98">
        <f t="shared" si="142"/>
        <v>4</v>
      </c>
      <c r="AB583" s="41">
        <v>2019</v>
      </c>
      <c r="AC583" s="33"/>
    </row>
    <row r="584" spans="1:30" ht="47.25" x14ac:dyDescent="0.25">
      <c r="A584" s="54" t="s">
        <v>18</v>
      </c>
      <c r="B584" s="54" t="s">
        <v>18</v>
      </c>
      <c r="C584" s="54" t="s">
        <v>24</v>
      </c>
      <c r="D584" s="54" t="s">
        <v>18</v>
      </c>
      <c r="E584" s="54" t="s">
        <v>21</v>
      </c>
      <c r="F584" s="54" t="s">
        <v>18</v>
      </c>
      <c r="G584" s="54" t="s">
        <v>22</v>
      </c>
      <c r="H584" s="54" t="s">
        <v>19</v>
      </c>
      <c r="I584" s="54" t="s">
        <v>24</v>
      </c>
      <c r="J584" s="54" t="s">
        <v>18</v>
      </c>
      <c r="K584" s="54" t="s">
        <v>18</v>
      </c>
      <c r="L584" s="54" t="s">
        <v>22</v>
      </c>
      <c r="M584" s="54" t="s">
        <v>43</v>
      </c>
      <c r="N584" s="54" t="s">
        <v>43</v>
      </c>
      <c r="O584" s="54" t="s">
        <v>43</v>
      </c>
      <c r="P584" s="54" t="s">
        <v>43</v>
      </c>
      <c r="Q584" s="54" t="s">
        <v>43</v>
      </c>
      <c r="R584" s="68" t="s">
        <v>152</v>
      </c>
      <c r="S584" s="55" t="s">
        <v>0</v>
      </c>
      <c r="T584" s="1">
        <f>72.8-43.1</f>
        <v>29.699999999999996</v>
      </c>
      <c r="U584" s="1">
        <f>31.8-31.8</f>
        <v>0</v>
      </c>
      <c r="V584" s="1">
        <v>31.8</v>
      </c>
      <c r="W584" s="1">
        <v>0</v>
      </c>
      <c r="X584" s="1">
        <v>0</v>
      </c>
      <c r="Y584" s="1">
        <v>0</v>
      </c>
      <c r="Z584" s="1">
        <v>0</v>
      </c>
      <c r="AA584" s="59">
        <f t="shared" si="142"/>
        <v>61.5</v>
      </c>
      <c r="AB584" s="58">
        <v>2020</v>
      </c>
      <c r="AC584" s="120"/>
    </row>
    <row r="585" spans="1:30" ht="47.25" customHeight="1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61" t="s">
        <v>154</v>
      </c>
      <c r="S585" s="153" t="s">
        <v>38</v>
      </c>
      <c r="T585" s="82">
        <v>10</v>
      </c>
      <c r="U585" s="82">
        <v>0</v>
      </c>
      <c r="V585" s="82">
        <v>10</v>
      </c>
      <c r="W585" s="82">
        <v>0</v>
      </c>
      <c r="X585" s="82">
        <v>0</v>
      </c>
      <c r="Y585" s="82">
        <v>0</v>
      </c>
      <c r="Z585" s="82">
        <v>0</v>
      </c>
      <c r="AA585" s="98">
        <f t="shared" si="142"/>
        <v>20</v>
      </c>
      <c r="AB585" s="41">
        <v>2020</v>
      </c>
      <c r="AC585" s="33"/>
    </row>
    <row r="586" spans="1:30" ht="48" customHeight="1" x14ac:dyDescent="0.25">
      <c r="A586" s="54" t="s">
        <v>18</v>
      </c>
      <c r="B586" s="54" t="s">
        <v>18</v>
      </c>
      <c r="C586" s="54" t="s">
        <v>21</v>
      </c>
      <c r="D586" s="54" t="s">
        <v>18</v>
      </c>
      <c r="E586" s="54" t="s">
        <v>21</v>
      </c>
      <c r="F586" s="54" t="s">
        <v>18</v>
      </c>
      <c r="G586" s="54" t="s">
        <v>22</v>
      </c>
      <c r="H586" s="54" t="s">
        <v>19</v>
      </c>
      <c r="I586" s="54" t="s">
        <v>24</v>
      </c>
      <c r="J586" s="54" t="s">
        <v>18</v>
      </c>
      <c r="K586" s="54" t="s">
        <v>18</v>
      </c>
      <c r="L586" s="54" t="s">
        <v>22</v>
      </c>
      <c r="M586" s="54" t="s">
        <v>43</v>
      </c>
      <c r="N586" s="54" t="s">
        <v>43</v>
      </c>
      <c r="O586" s="54" t="s">
        <v>43</v>
      </c>
      <c r="P586" s="54" t="s">
        <v>43</v>
      </c>
      <c r="Q586" s="54" t="s">
        <v>43</v>
      </c>
      <c r="R586" s="68" t="s">
        <v>155</v>
      </c>
      <c r="S586" s="55" t="s">
        <v>0</v>
      </c>
      <c r="T586" s="63">
        <f>36.4-4.4</f>
        <v>32</v>
      </c>
      <c r="U586" s="63">
        <f>34.6-34.6</f>
        <v>0</v>
      </c>
      <c r="V586" s="63">
        <f>31.8-22.8</f>
        <v>9</v>
      </c>
      <c r="W586" s="1">
        <v>0</v>
      </c>
      <c r="X586" s="1">
        <v>0</v>
      </c>
      <c r="Y586" s="1">
        <v>0</v>
      </c>
      <c r="Z586" s="1">
        <v>0</v>
      </c>
      <c r="AA586" s="59">
        <f t="shared" si="142"/>
        <v>41</v>
      </c>
      <c r="AB586" s="58">
        <v>2020</v>
      </c>
      <c r="AC586" s="119"/>
      <c r="AD586" s="102"/>
    </row>
    <row r="587" spans="1:30" ht="47.25" customHeight="1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61" t="s">
        <v>156</v>
      </c>
      <c r="S587" s="153" t="s">
        <v>38</v>
      </c>
      <c r="T587" s="82">
        <v>14</v>
      </c>
      <c r="U587" s="82">
        <v>0</v>
      </c>
      <c r="V587" s="82">
        <v>2</v>
      </c>
      <c r="W587" s="82">
        <v>0</v>
      </c>
      <c r="X587" s="82">
        <v>0</v>
      </c>
      <c r="Y587" s="82">
        <v>0</v>
      </c>
      <c r="Z587" s="82">
        <v>0</v>
      </c>
      <c r="AA587" s="99">
        <f t="shared" si="142"/>
        <v>16</v>
      </c>
      <c r="AB587" s="41">
        <v>2020</v>
      </c>
      <c r="AC587" s="33"/>
    </row>
    <row r="588" spans="1:30" ht="48" customHeight="1" x14ac:dyDescent="0.25">
      <c r="A588" s="54" t="s">
        <v>18</v>
      </c>
      <c r="B588" s="54" t="s">
        <v>18</v>
      </c>
      <c r="C588" s="54" t="s">
        <v>25</v>
      </c>
      <c r="D588" s="54" t="s">
        <v>18</v>
      </c>
      <c r="E588" s="54" t="s">
        <v>21</v>
      </c>
      <c r="F588" s="54" t="s">
        <v>18</v>
      </c>
      <c r="G588" s="54" t="s">
        <v>22</v>
      </c>
      <c r="H588" s="54" t="s">
        <v>19</v>
      </c>
      <c r="I588" s="54" t="s">
        <v>24</v>
      </c>
      <c r="J588" s="54" t="s">
        <v>18</v>
      </c>
      <c r="K588" s="54" t="s">
        <v>18</v>
      </c>
      <c r="L588" s="54" t="s">
        <v>22</v>
      </c>
      <c r="M588" s="54" t="s">
        <v>43</v>
      </c>
      <c r="N588" s="54" t="s">
        <v>43</v>
      </c>
      <c r="O588" s="54" t="s">
        <v>43</v>
      </c>
      <c r="P588" s="54" t="s">
        <v>43</v>
      </c>
      <c r="Q588" s="54" t="s">
        <v>43</v>
      </c>
      <c r="R588" s="68" t="s">
        <v>152</v>
      </c>
      <c r="S588" s="55" t="s">
        <v>0</v>
      </c>
      <c r="T588" s="1">
        <f>35-32.2</f>
        <v>2.7999999999999972</v>
      </c>
      <c r="U588" s="1">
        <f>35-27.4</f>
        <v>7.6000000000000014</v>
      </c>
      <c r="V588" s="1">
        <f>35-18.1</f>
        <v>16.899999999999999</v>
      </c>
      <c r="W588" s="1">
        <v>0</v>
      </c>
      <c r="X588" s="1">
        <v>0</v>
      </c>
      <c r="Y588" s="1">
        <v>0</v>
      </c>
      <c r="Z588" s="1">
        <v>0</v>
      </c>
      <c r="AA588" s="59">
        <f t="shared" si="142"/>
        <v>27.299999999999997</v>
      </c>
      <c r="AB588" s="58">
        <v>2020</v>
      </c>
      <c r="AC588" s="33"/>
    </row>
    <row r="589" spans="1:30" ht="48" customHeight="1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61" t="s">
        <v>157</v>
      </c>
      <c r="S589" s="153" t="s">
        <v>38</v>
      </c>
      <c r="T589" s="41">
        <v>1</v>
      </c>
      <c r="U589" s="41">
        <v>2</v>
      </c>
      <c r="V589" s="41">
        <v>4</v>
      </c>
      <c r="W589" s="82">
        <v>0</v>
      </c>
      <c r="X589" s="82">
        <v>0</v>
      </c>
      <c r="Y589" s="82">
        <v>0</v>
      </c>
      <c r="Z589" s="82">
        <v>0</v>
      </c>
      <c r="AA589" s="49">
        <f t="shared" si="142"/>
        <v>7</v>
      </c>
      <c r="AB589" s="41">
        <v>2020</v>
      </c>
      <c r="AC589" s="33"/>
    </row>
    <row r="590" spans="1:30" ht="31.5" hidden="1" x14ac:dyDescent="0.25">
      <c r="A590" s="54" t="s">
        <v>18</v>
      </c>
      <c r="B590" s="54" t="s">
        <v>19</v>
      </c>
      <c r="C590" s="54" t="s">
        <v>20</v>
      </c>
      <c r="D590" s="54" t="s">
        <v>18</v>
      </c>
      <c r="E590" s="54" t="s">
        <v>24</v>
      </c>
      <c r="F590" s="54" t="s">
        <v>18</v>
      </c>
      <c r="G590" s="54" t="s">
        <v>21</v>
      </c>
      <c r="H590" s="54" t="s">
        <v>19</v>
      </c>
      <c r="I590" s="54" t="s">
        <v>24</v>
      </c>
      <c r="J590" s="54" t="s">
        <v>18</v>
      </c>
      <c r="K590" s="54" t="s">
        <v>18</v>
      </c>
      <c r="L590" s="54" t="s">
        <v>22</v>
      </c>
      <c r="M590" s="54" t="s">
        <v>18</v>
      </c>
      <c r="N590" s="54" t="s">
        <v>18</v>
      </c>
      <c r="O590" s="54" t="s">
        <v>18</v>
      </c>
      <c r="P590" s="54" t="s">
        <v>18</v>
      </c>
      <c r="Q590" s="54" t="s">
        <v>18</v>
      </c>
      <c r="R590" s="69" t="s">
        <v>295</v>
      </c>
      <c r="S590" s="58" t="s">
        <v>0</v>
      </c>
      <c r="T590" s="59">
        <v>0</v>
      </c>
      <c r="U590" s="59">
        <v>0</v>
      </c>
      <c r="V590" s="59">
        <v>0</v>
      </c>
      <c r="W590" s="1">
        <v>0</v>
      </c>
      <c r="X590" s="59">
        <v>0</v>
      </c>
      <c r="Y590" s="59">
        <v>0</v>
      </c>
      <c r="Z590" s="59">
        <v>0</v>
      </c>
      <c r="AA590" s="59">
        <f>T590+U590+V590+W590+X590+Y590</f>
        <v>0</v>
      </c>
      <c r="AB590" s="58">
        <v>2019</v>
      </c>
      <c r="AC590" s="33"/>
    </row>
    <row r="591" spans="1:30" ht="31.5" hidden="1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61" t="s">
        <v>165</v>
      </c>
      <c r="S591" s="153" t="s">
        <v>38</v>
      </c>
      <c r="T591" s="41">
        <v>0</v>
      </c>
      <c r="U591" s="41">
        <v>1</v>
      </c>
      <c r="V591" s="41">
        <v>0</v>
      </c>
      <c r="W591" s="82">
        <v>0</v>
      </c>
      <c r="X591" s="41">
        <v>0</v>
      </c>
      <c r="Y591" s="41">
        <v>0</v>
      </c>
      <c r="Z591" s="41">
        <v>0</v>
      </c>
      <c r="AA591" s="49">
        <v>1</v>
      </c>
      <c r="AB591" s="41">
        <v>2019</v>
      </c>
      <c r="AC591" s="33"/>
    </row>
    <row r="592" spans="1:30" ht="78.75" hidden="1" x14ac:dyDescent="0.25">
      <c r="A592" s="54" t="s">
        <v>18</v>
      </c>
      <c r="B592" s="54" t="s">
        <v>19</v>
      </c>
      <c r="C592" s="54" t="s">
        <v>20</v>
      </c>
      <c r="D592" s="54" t="s">
        <v>18</v>
      </c>
      <c r="E592" s="54" t="s">
        <v>24</v>
      </c>
      <c r="F592" s="54" t="s">
        <v>18</v>
      </c>
      <c r="G592" s="54" t="s">
        <v>21</v>
      </c>
      <c r="H592" s="54" t="s">
        <v>19</v>
      </c>
      <c r="I592" s="54" t="s">
        <v>24</v>
      </c>
      <c r="J592" s="54" t="s">
        <v>18</v>
      </c>
      <c r="K592" s="54" t="s">
        <v>18</v>
      </c>
      <c r="L592" s="54" t="s">
        <v>22</v>
      </c>
      <c r="M592" s="54" t="s">
        <v>18</v>
      </c>
      <c r="N592" s="54" t="s">
        <v>18</v>
      </c>
      <c r="O592" s="54" t="s">
        <v>18</v>
      </c>
      <c r="P592" s="54" t="s">
        <v>18</v>
      </c>
      <c r="Q592" s="54" t="s">
        <v>18</v>
      </c>
      <c r="R592" s="69" t="s">
        <v>296</v>
      </c>
      <c r="S592" s="58" t="s">
        <v>0</v>
      </c>
      <c r="T592" s="59">
        <v>0</v>
      </c>
      <c r="U592" s="59">
        <v>0</v>
      </c>
      <c r="V592" s="59">
        <v>0</v>
      </c>
      <c r="W592" s="1">
        <v>0</v>
      </c>
      <c r="X592" s="59">
        <v>0</v>
      </c>
      <c r="Y592" s="59">
        <v>0</v>
      </c>
      <c r="Z592" s="59">
        <v>0</v>
      </c>
      <c r="AA592" s="59">
        <f>T592+U592+V592+W592+X592+Y592</f>
        <v>0</v>
      </c>
      <c r="AB592" s="58">
        <v>2019</v>
      </c>
      <c r="AC592" s="33"/>
    </row>
    <row r="593" spans="1:33" s="72" customFormat="1" ht="33" hidden="1" customHeight="1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40" t="s">
        <v>297</v>
      </c>
      <c r="S593" s="41" t="s">
        <v>38</v>
      </c>
      <c r="T593" s="41">
        <v>0</v>
      </c>
      <c r="U593" s="41">
        <v>1</v>
      </c>
      <c r="V593" s="41">
        <v>0</v>
      </c>
      <c r="W593" s="82">
        <v>0</v>
      </c>
      <c r="X593" s="41">
        <v>0</v>
      </c>
      <c r="Y593" s="41">
        <v>0</v>
      </c>
      <c r="Z593" s="41">
        <v>0</v>
      </c>
      <c r="AA593" s="49">
        <f>U593</f>
        <v>1</v>
      </c>
      <c r="AB593" s="41">
        <v>2019</v>
      </c>
      <c r="AC593" s="111"/>
    </row>
    <row r="594" spans="1:33" ht="79.5" customHeight="1" x14ac:dyDescent="0.25">
      <c r="A594" s="54" t="s">
        <v>18</v>
      </c>
      <c r="B594" s="54" t="s">
        <v>19</v>
      </c>
      <c r="C594" s="54" t="s">
        <v>20</v>
      </c>
      <c r="D594" s="54" t="s">
        <v>18</v>
      </c>
      <c r="E594" s="54" t="s">
        <v>24</v>
      </c>
      <c r="F594" s="54" t="s">
        <v>18</v>
      </c>
      <c r="G594" s="54" t="s">
        <v>21</v>
      </c>
      <c r="H594" s="54" t="s">
        <v>19</v>
      </c>
      <c r="I594" s="54" t="s">
        <v>24</v>
      </c>
      <c r="J594" s="54" t="s">
        <v>18</v>
      </c>
      <c r="K594" s="54" t="s">
        <v>18</v>
      </c>
      <c r="L594" s="54" t="s">
        <v>22</v>
      </c>
      <c r="M594" s="54" t="s">
        <v>19</v>
      </c>
      <c r="N594" s="54" t="s">
        <v>18</v>
      </c>
      <c r="O594" s="54" t="s">
        <v>21</v>
      </c>
      <c r="P594" s="54" t="s">
        <v>21</v>
      </c>
      <c r="Q594" s="54" t="s">
        <v>18</v>
      </c>
      <c r="R594" s="152" t="s">
        <v>309</v>
      </c>
      <c r="S594" s="58" t="s">
        <v>0</v>
      </c>
      <c r="T594" s="59">
        <v>0</v>
      </c>
      <c r="U594" s="59">
        <v>731.8</v>
      </c>
      <c r="V594" s="59">
        <v>0</v>
      </c>
      <c r="W594" s="59">
        <v>0</v>
      </c>
      <c r="X594" s="59">
        <v>0</v>
      </c>
      <c r="Y594" s="59">
        <v>0</v>
      </c>
      <c r="Z594" s="59">
        <v>0</v>
      </c>
      <c r="AA594" s="59">
        <f>T594+U594+V594+W594+X594+Y594</f>
        <v>731.8</v>
      </c>
      <c r="AB594" s="58">
        <v>2019</v>
      </c>
    </row>
    <row r="595" spans="1:33" s="72" customFormat="1" ht="31.5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78" t="s">
        <v>298</v>
      </c>
      <c r="S595" s="41" t="s">
        <v>50</v>
      </c>
      <c r="T595" s="44">
        <v>0</v>
      </c>
      <c r="U595" s="44">
        <v>347</v>
      </c>
      <c r="V595" s="44">
        <v>0</v>
      </c>
      <c r="W595" s="44">
        <v>0</v>
      </c>
      <c r="X595" s="44">
        <v>0</v>
      </c>
      <c r="Y595" s="44">
        <v>0</v>
      </c>
      <c r="Z595" s="44">
        <v>0</v>
      </c>
      <c r="AA595" s="49">
        <f>U595</f>
        <v>347</v>
      </c>
      <c r="AB595" s="73">
        <v>2019</v>
      </c>
      <c r="AC595" s="111"/>
    </row>
    <row r="596" spans="1:33" ht="31.5" x14ac:dyDescent="0.25">
      <c r="A596" s="46"/>
      <c r="B596" s="46"/>
      <c r="C596" s="46"/>
      <c r="D596" s="46"/>
      <c r="E596" s="46"/>
      <c r="F596" s="46"/>
      <c r="G596" s="46"/>
      <c r="H596" s="46" t="s">
        <v>19</v>
      </c>
      <c r="I596" s="46" t="s">
        <v>24</v>
      </c>
      <c r="J596" s="46" t="s">
        <v>18</v>
      </c>
      <c r="K596" s="46" t="s">
        <v>18</v>
      </c>
      <c r="L596" s="46" t="s">
        <v>24</v>
      </c>
      <c r="M596" s="46" t="s">
        <v>18</v>
      </c>
      <c r="N596" s="46" t="s">
        <v>18</v>
      </c>
      <c r="O596" s="46" t="s">
        <v>18</v>
      </c>
      <c r="P596" s="46" t="s">
        <v>18</v>
      </c>
      <c r="Q596" s="46" t="s">
        <v>18</v>
      </c>
      <c r="R596" s="75" t="s">
        <v>54</v>
      </c>
      <c r="S596" s="141" t="s">
        <v>0</v>
      </c>
      <c r="T596" s="140">
        <f t="shared" ref="T596:Y596" si="143">T598+T610+T606</f>
        <v>25348.3</v>
      </c>
      <c r="U596" s="140">
        <f t="shared" si="143"/>
        <v>35592.6</v>
      </c>
      <c r="V596" s="140">
        <f t="shared" si="143"/>
        <v>25348.3</v>
      </c>
      <c r="W596" s="140">
        <f t="shared" si="143"/>
        <v>26934.5</v>
      </c>
      <c r="X596" s="140">
        <f t="shared" si="143"/>
        <v>26770.400000000001</v>
      </c>
      <c r="Y596" s="140">
        <f t="shared" si="143"/>
        <v>33673</v>
      </c>
      <c r="Z596" s="140">
        <f>Z598+Z610+Z606</f>
        <v>40179.5</v>
      </c>
      <c r="AA596" s="140">
        <f>SUM(T596:Z596)</f>
        <v>213846.6</v>
      </c>
      <c r="AB596" s="141">
        <v>2024</v>
      </c>
    </row>
    <row r="597" spans="1:33" ht="31.5" customHeight="1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92" t="s">
        <v>158</v>
      </c>
      <c r="S597" s="153" t="s">
        <v>52</v>
      </c>
      <c r="T597" s="137">
        <f>T601</f>
        <v>2225</v>
      </c>
      <c r="U597" s="137">
        <f t="shared" ref="U597:AA597" si="144">U601</f>
        <v>2224</v>
      </c>
      <c r="V597" s="137">
        <f t="shared" si="144"/>
        <v>2224</v>
      </c>
      <c r="W597" s="137">
        <f t="shared" si="144"/>
        <v>2224</v>
      </c>
      <c r="X597" s="137">
        <f t="shared" si="144"/>
        <v>2224</v>
      </c>
      <c r="Y597" s="137">
        <f t="shared" si="144"/>
        <v>2224</v>
      </c>
      <c r="Z597" s="137">
        <f t="shared" ref="Z597" si="145">Z601</f>
        <v>2224</v>
      </c>
      <c r="AA597" s="138">
        <f t="shared" si="144"/>
        <v>2224</v>
      </c>
      <c r="AB597" s="41">
        <v>2024</v>
      </c>
      <c r="AD597" s="12"/>
      <c r="AE597" s="12"/>
      <c r="AF597" s="12"/>
      <c r="AG597" s="12"/>
    </row>
    <row r="598" spans="1:33" x14ac:dyDescent="0.25">
      <c r="A598" s="54"/>
      <c r="B598" s="54"/>
      <c r="C598" s="54"/>
      <c r="D598" s="54" t="s">
        <v>18</v>
      </c>
      <c r="E598" s="54" t="s">
        <v>21</v>
      </c>
      <c r="F598" s="54" t="s">
        <v>18</v>
      </c>
      <c r="G598" s="54" t="s">
        <v>22</v>
      </c>
      <c r="H598" s="54" t="s">
        <v>19</v>
      </c>
      <c r="I598" s="54" t="s">
        <v>24</v>
      </c>
      <c r="J598" s="54" t="s">
        <v>18</v>
      </c>
      <c r="K598" s="54" t="s">
        <v>18</v>
      </c>
      <c r="L598" s="54" t="s">
        <v>24</v>
      </c>
      <c r="M598" s="54" t="s">
        <v>43</v>
      </c>
      <c r="N598" s="54" t="s">
        <v>43</v>
      </c>
      <c r="O598" s="54" t="s">
        <v>43</v>
      </c>
      <c r="P598" s="54" t="s">
        <v>43</v>
      </c>
      <c r="Q598" s="54" t="s">
        <v>43</v>
      </c>
      <c r="R598" s="176" t="s">
        <v>159</v>
      </c>
      <c r="S598" s="181" t="s">
        <v>0</v>
      </c>
      <c r="T598" s="59">
        <v>25348.3</v>
      </c>
      <c r="U598" s="59">
        <f>23600+1311.8</f>
        <v>24911.8</v>
      </c>
      <c r="V598" s="59">
        <f>V599+V600</f>
        <v>25348.3</v>
      </c>
      <c r="W598" s="59">
        <f t="shared" ref="W598:Y598" si="146">W599+W600</f>
        <v>22802.2</v>
      </c>
      <c r="X598" s="59">
        <f t="shared" si="146"/>
        <v>21770.400000000001</v>
      </c>
      <c r="Y598" s="59">
        <f t="shared" si="146"/>
        <v>21770.400000000001</v>
      </c>
      <c r="Z598" s="59">
        <f>Z599+Z600</f>
        <v>21770.400000000001</v>
      </c>
      <c r="AA598" s="59">
        <f>SUM(T598:Z598)</f>
        <v>163721.79999999999</v>
      </c>
      <c r="AB598" s="58">
        <v>2024</v>
      </c>
      <c r="AC598" s="33"/>
    </row>
    <row r="599" spans="1:33" x14ac:dyDescent="0.25">
      <c r="A599" s="54" t="s">
        <v>18</v>
      </c>
      <c r="B599" s="54" t="s">
        <v>19</v>
      </c>
      <c r="C599" s="54" t="s">
        <v>20</v>
      </c>
      <c r="D599" s="54" t="s">
        <v>18</v>
      </c>
      <c r="E599" s="54" t="s">
        <v>21</v>
      </c>
      <c r="F599" s="54" t="s">
        <v>18</v>
      </c>
      <c r="G599" s="54" t="s">
        <v>22</v>
      </c>
      <c r="H599" s="54" t="s">
        <v>19</v>
      </c>
      <c r="I599" s="54" t="s">
        <v>24</v>
      </c>
      <c r="J599" s="54" t="s">
        <v>18</v>
      </c>
      <c r="K599" s="54" t="s">
        <v>18</v>
      </c>
      <c r="L599" s="54" t="s">
        <v>24</v>
      </c>
      <c r="M599" s="54" t="s">
        <v>43</v>
      </c>
      <c r="N599" s="54" t="s">
        <v>43</v>
      </c>
      <c r="O599" s="54" t="s">
        <v>43</v>
      </c>
      <c r="P599" s="54" t="s">
        <v>43</v>
      </c>
      <c r="Q599" s="54" t="s">
        <v>43</v>
      </c>
      <c r="R599" s="177"/>
      <c r="S599" s="182"/>
      <c r="T599" s="1">
        <v>25348.3</v>
      </c>
      <c r="U599" s="1">
        <v>24911.8</v>
      </c>
      <c r="V599" s="1">
        <v>0</v>
      </c>
      <c r="W599" s="1">
        <v>0</v>
      </c>
      <c r="X599" s="1">
        <v>0</v>
      </c>
      <c r="Y599" s="1">
        <v>0</v>
      </c>
      <c r="Z599" s="1">
        <v>0</v>
      </c>
      <c r="AA599" s="59">
        <f t="shared" ref="AA599:AA600" si="147">SUM(T599:Z599)</f>
        <v>50260.1</v>
      </c>
      <c r="AB599" s="55">
        <v>2019</v>
      </c>
      <c r="AC599" s="33"/>
    </row>
    <row r="600" spans="1:33" x14ac:dyDescent="0.25">
      <c r="A600" s="54" t="s">
        <v>18</v>
      </c>
      <c r="B600" s="54" t="s">
        <v>19</v>
      </c>
      <c r="C600" s="54" t="s">
        <v>24</v>
      </c>
      <c r="D600" s="54" t="s">
        <v>18</v>
      </c>
      <c r="E600" s="54" t="s">
        <v>21</v>
      </c>
      <c r="F600" s="54" t="s">
        <v>18</v>
      </c>
      <c r="G600" s="54" t="s">
        <v>22</v>
      </c>
      <c r="H600" s="54" t="s">
        <v>19</v>
      </c>
      <c r="I600" s="54" t="s">
        <v>24</v>
      </c>
      <c r="J600" s="54" t="s">
        <v>18</v>
      </c>
      <c r="K600" s="54" t="s">
        <v>18</v>
      </c>
      <c r="L600" s="54" t="s">
        <v>24</v>
      </c>
      <c r="M600" s="54" t="s">
        <v>43</v>
      </c>
      <c r="N600" s="54" t="s">
        <v>43</v>
      </c>
      <c r="O600" s="54" t="s">
        <v>43</v>
      </c>
      <c r="P600" s="54" t="s">
        <v>43</v>
      </c>
      <c r="Q600" s="54" t="s">
        <v>43</v>
      </c>
      <c r="R600" s="178"/>
      <c r="S600" s="183"/>
      <c r="T600" s="1">
        <v>0</v>
      </c>
      <c r="U600" s="1">
        <v>0</v>
      </c>
      <c r="V600" s="1">
        <v>25348.3</v>
      </c>
      <c r="W600" s="1">
        <f>21770.4+1031.8</f>
        <v>22802.2</v>
      </c>
      <c r="X600" s="1">
        <v>21770.400000000001</v>
      </c>
      <c r="Y600" s="1">
        <v>21770.400000000001</v>
      </c>
      <c r="Z600" s="1">
        <v>21770.400000000001</v>
      </c>
      <c r="AA600" s="59">
        <f t="shared" si="147"/>
        <v>113461.69999999998</v>
      </c>
      <c r="AB600" s="55">
        <v>2024</v>
      </c>
      <c r="AC600" s="33"/>
    </row>
    <row r="601" spans="1:33" ht="34.15" customHeight="1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80" t="s">
        <v>160</v>
      </c>
      <c r="S601" s="156" t="s">
        <v>52</v>
      </c>
      <c r="T601" s="2">
        <v>2225</v>
      </c>
      <c r="U601" s="44">
        <v>2224</v>
      </c>
      <c r="V601" s="44">
        <v>2224</v>
      </c>
      <c r="W601" s="44">
        <v>2224</v>
      </c>
      <c r="X601" s="44">
        <v>2224</v>
      </c>
      <c r="Y601" s="44">
        <v>2224</v>
      </c>
      <c r="Z601" s="44">
        <v>2224</v>
      </c>
      <c r="AA601" s="45">
        <f>Z601</f>
        <v>2224</v>
      </c>
      <c r="AB601" s="41">
        <v>2024</v>
      </c>
      <c r="AC601" s="33"/>
    </row>
    <row r="602" spans="1:33" ht="31.5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80" t="s">
        <v>161</v>
      </c>
      <c r="S602" s="156" t="s">
        <v>53</v>
      </c>
      <c r="T602" s="2">
        <v>365</v>
      </c>
      <c r="U602" s="2">
        <v>365</v>
      </c>
      <c r="V602" s="44">
        <v>366</v>
      </c>
      <c r="W602" s="44">
        <v>365</v>
      </c>
      <c r="X602" s="2">
        <v>365</v>
      </c>
      <c r="Y602" s="2">
        <v>365</v>
      </c>
      <c r="Z602" s="2">
        <v>366</v>
      </c>
      <c r="AA602" s="45">
        <f>T602+U602+V602+W602+X602+Y602+Z602</f>
        <v>2557</v>
      </c>
      <c r="AB602" s="41">
        <v>2024</v>
      </c>
      <c r="AC602" s="33"/>
    </row>
    <row r="603" spans="1:33" ht="31.5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80" t="s">
        <v>162</v>
      </c>
      <c r="S603" s="156" t="s">
        <v>38</v>
      </c>
      <c r="T603" s="2">
        <v>4917</v>
      </c>
      <c r="U603" s="2">
        <v>5400</v>
      </c>
      <c r="V603" s="2">
        <v>4794</v>
      </c>
      <c r="W603" s="44">
        <v>6500</v>
      </c>
      <c r="X603" s="2">
        <v>4878</v>
      </c>
      <c r="Y603" s="2">
        <v>4878</v>
      </c>
      <c r="Z603" s="2">
        <v>4878</v>
      </c>
      <c r="AA603" s="45">
        <f t="shared" ref="AA603:AA605" si="148">T603+U603+V603+W603+X603+Y603+Z603</f>
        <v>36245</v>
      </c>
      <c r="AB603" s="41">
        <v>2024</v>
      </c>
      <c r="AC603" s="123"/>
      <c r="AD603" s="102"/>
    </row>
    <row r="604" spans="1:33" ht="47.25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80" t="s">
        <v>163</v>
      </c>
      <c r="S604" s="156" t="s">
        <v>38</v>
      </c>
      <c r="T604" s="2">
        <v>4598</v>
      </c>
      <c r="U604" s="44">
        <v>4558</v>
      </c>
      <c r="V604" s="2">
        <v>4594</v>
      </c>
      <c r="W604" s="44">
        <v>6500</v>
      </c>
      <c r="X604" s="2">
        <v>4878</v>
      </c>
      <c r="Y604" s="2">
        <v>4878</v>
      </c>
      <c r="Z604" s="2">
        <v>4878</v>
      </c>
      <c r="AA604" s="45">
        <f t="shared" si="148"/>
        <v>34884</v>
      </c>
      <c r="AB604" s="41">
        <v>2024</v>
      </c>
      <c r="AC604" s="123"/>
      <c r="AD604" s="102"/>
    </row>
    <row r="605" spans="1:33" ht="47.25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80" t="s">
        <v>164</v>
      </c>
      <c r="S605" s="156" t="s">
        <v>38</v>
      </c>
      <c r="T605" s="2">
        <v>488</v>
      </c>
      <c r="U605" s="2">
        <v>550</v>
      </c>
      <c r="V605" s="2">
        <v>516</v>
      </c>
      <c r="W605" s="44">
        <v>500</v>
      </c>
      <c r="X605" s="2">
        <v>490</v>
      </c>
      <c r="Y605" s="2">
        <v>490</v>
      </c>
      <c r="Z605" s="2">
        <v>490</v>
      </c>
      <c r="AA605" s="45">
        <f t="shared" si="148"/>
        <v>3524</v>
      </c>
      <c r="AB605" s="41">
        <v>2024</v>
      </c>
      <c r="AC605" s="123"/>
      <c r="AD605" s="102"/>
    </row>
    <row r="606" spans="1:33" x14ac:dyDescent="0.25">
      <c r="A606" s="54"/>
      <c r="B606" s="54"/>
      <c r="C606" s="54"/>
      <c r="D606" s="54" t="s">
        <v>18</v>
      </c>
      <c r="E606" s="54" t="s">
        <v>21</v>
      </c>
      <c r="F606" s="54" t="s">
        <v>18</v>
      </c>
      <c r="G606" s="54" t="s">
        <v>22</v>
      </c>
      <c r="H606" s="54" t="s">
        <v>19</v>
      </c>
      <c r="I606" s="54" t="s">
        <v>24</v>
      </c>
      <c r="J606" s="54" t="s">
        <v>18</v>
      </c>
      <c r="K606" s="54" t="s">
        <v>18</v>
      </c>
      <c r="L606" s="54" t="s">
        <v>24</v>
      </c>
      <c r="M606" s="54" t="s">
        <v>43</v>
      </c>
      <c r="N606" s="54" t="s">
        <v>43</v>
      </c>
      <c r="O606" s="54" t="s">
        <v>43</v>
      </c>
      <c r="P606" s="54" t="s">
        <v>43</v>
      </c>
      <c r="Q606" s="54" t="s">
        <v>43</v>
      </c>
      <c r="R606" s="176" t="s">
        <v>332</v>
      </c>
      <c r="S606" s="181" t="s">
        <v>0</v>
      </c>
      <c r="T606" s="59">
        <f>T607+T608</f>
        <v>0</v>
      </c>
      <c r="U606" s="59">
        <f t="shared" ref="U606:Z606" si="149">U607+U608</f>
        <v>10680.8</v>
      </c>
      <c r="V606" s="59">
        <f t="shared" si="149"/>
        <v>0</v>
      </c>
      <c r="W606" s="59">
        <f t="shared" si="149"/>
        <v>4132.3</v>
      </c>
      <c r="X606" s="59">
        <f t="shared" si="149"/>
        <v>0</v>
      </c>
      <c r="Y606" s="59">
        <f t="shared" si="149"/>
        <v>0</v>
      </c>
      <c r="Z606" s="59">
        <f t="shared" si="149"/>
        <v>0</v>
      </c>
      <c r="AA606" s="59">
        <f>SUM(T606:Z606)</f>
        <v>14813.099999999999</v>
      </c>
      <c r="AB606" s="58">
        <v>2021</v>
      </c>
      <c r="AC606" s="33"/>
      <c r="AD606" s="102"/>
    </row>
    <row r="607" spans="1:33" x14ac:dyDescent="0.25">
      <c r="A607" s="54" t="s">
        <v>18</v>
      </c>
      <c r="B607" s="54" t="s">
        <v>19</v>
      </c>
      <c r="C607" s="54" t="s">
        <v>20</v>
      </c>
      <c r="D607" s="54" t="s">
        <v>18</v>
      </c>
      <c r="E607" s="54" t="s">
        <v>21</v>
      </c>
      <c r="F607" s="54" t="s">
        <v>18</v>
      </c>
      <c r="G607" s="54" t="s">
        <v>22</v>
      </c>
      <c r="H607" s="54" t="s">
        <v>19</v>
      </c>
      <c r="I607" s="54" t="s">
        <v>24</v>
      </c>
      <c r="J607" s="54" t="s">
        <v>18</v>
      </c>
      <c r="K607" s="54" t="s">
        <v>18</v>
      </c>
      <c r="L607" s="54" t="s">
        <v>24</v>
      </c>
      <c r="M607" s="54" t="s">
        <v>43</v>
      </c>
      <c r="N607" s="54" t="s">
        <v>43</v>
      </c>
      <c r="O607" s="54" t="s">
        <v>43</v>
      </c>
      <c r="P607" s="54" t="s">
        <v>43</v>
      </c>
      <c r="Q607" s="54" t="s">
        <v>43</v>
      </c>
      <c r="R607" s="177"/>
      <c r="S607" s="182"/>
      <c r="T607" s="1">
        <v>0</v>
      </c>
      <c r="U607" s="1">
        <v>10680.8</v>
      </c>
      <c r="V607" s="1">
        <v>0</v>
      </c>
      <c r="W607" s="1">
        <v>0</v>
      </c>
      <c r="X607" s="1">
        <v>0</v>
      </c>
      <c r="Y607" s="1">
        <v>0</v>
      </c>
      <c r="Z607" s="1">
        <v>0</v>
      </c>
      <c r="AA607" s="59">
        <f t="shared" ref="AA607:AA608" si="150">SUM(T607:Z607)</f>
        <v>10680.8</v>
      </c>
      <c r="AB607" s="58">
        <v>2019</v>
      </c>
      <c r="AC607" s="33"/>
      <c r="AD607" s="102"/>
    </row>
    <row r="608" spans="1:33" x14ac:dyDescent="0.25">
      <c r="A608" s="54" t="s">
        <v>18</v>
      </c>
      <c r="B608" s="54" t="s">
        <v>19</v>
      </c>
      <c r="C608" s="54" t="s">
        <v>24</v>
      </c>
      <c r="D608" s="54" t="s">
        <v>18</v>
      </c>
      <c r="E608" s="54" t="s">
        <v>21</v>
      </c>
      <c r="F608" s="54" t="s">
        <v>18</v>
      </c>
      <c r="G608" s="54" t="s">
        <v>22</v>
      </c>
      <c r="H608" s="54" t="s">
        <v>19</v>
      </c>
      <c r="I608" s="54" t="s">
        <v>24</v>
      </c>
      <c r="J608" s="54" t="s">
        <v>18</v>
      </c>
      <c r="K608" s="54" t="s">
        <v>18</v>
      </c>
      <c r="L608" s="54" t="s">
        <v>24</v>
      </c>
      <c r="M608" s="54" t="s">
        <v>43</v>
      </c>
      <c r="N608" s="54" t="s">
        <v>43</v>
      </c>
      <c r="O608" s="54" t="s">
        <v>43</v>
      </c>
      <c r="P608" s="54" t="s">
        <v>43</v>
      </c>
      <c r="Q608" s="54" t="s">
        <v>43</v>
      </c>
      <c r="R608" s="178"/>
      <c r="S608" s="183"/>
      <c r="T608" s="1">
        <v>0</v>
      </c>
      <c r="U608" s="1">
        <v>0</v>
      </c>
      <c r="V608" s="1">
        <v>0</v>
      </c>
      <c r="W608" s="1">
        <v>4132.3</v>
      </c>
      <c r="X608" s="1">
        <v>0</v>
      </c>
      <c r="Y608" s="1">
        <v>0</v>
      </c>
      <c r="Z608" s="1">
        <v>0</v>
      </c>
      <c r="AA608" s="59">
        <f t="shared" si="150"/>
        <v>4132.3</v>
      </c>
      <c r="AB608" s="58">
        <v>2021</v>
      </c>
      <c r="AC608" s="33"/>
      <c r="AD608" s="102"/>
    </row>
    <row r="609" spans="1:31" ht="31.5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40" t="s">
        <v>277</v>
      </c>
      <c r="S609" s="41" t="s">
        <v>38</v>
      </c>
      <c r="T609" s="44">
        <v>0</v>
      </c>
      <c r="U609" s="44">
        <v>7300</v>
      </c>
      <c r="V609" s="44">
        <v>0</v>
      </c>
      <c r="W609" s="44">
        <v>7300</v>
      </c>
      <c r="X609" s="44">
        <v>0</v>
      </c>
      <c r="Y609" s="44">
        <v>0</v>
      </c>
      <c r="Z609" s="44">
        <v>0</v>
      </c>
      <c r="AA609" s="49">
        <f>U609</f>
        <v>7300</v>
      </c>
      <c r="AB609" s="41">
        <v>2021</v>
      </c>
      <c r="AC609" s="33"/>
      <c r="AD609" s="104"/>
      <c r="AE609" s="104"/>
    </row>
    <row r="610" spans="1:31" ht="31.5" x14ac:dyDescent="0.25">
      <c r="A610" s="54" t="s">
        <v>18</v>
      </c>
      <c r="B610" s="54" t="s">
        <v>19</v>
      </c>
      <c r="C610" s="54" t="s">
        <v>24</v>
      </c>
      <c r="D610" s="54" t="s">
        <v>18</v>
      </c>
      <c r="E610" s="54" t="s">
        <v>21</v>
      </c>
      <c r="F610" s="54" t="s">
        <v>18</v>
      </c>
      <c r="G610" s="54" t="s">
        <v>22</v>
      </c>
      <c r="H610" s="54" t="s">
        <v>19</v>
      </c>
      <c r="I610" s="54" t="s">
        <v>24</v>
      </c>
      <c r="J610" s="54" t="s">
        <v>18</v>
      </c>
      <c r="K610" s="54" t="s">
        <v>18</v>
      </c>
      <c r="L610" s="54" t="s">
        <v>24</v>
      </c>
      <c r="M610" s="54" t="s">
        <v>18</v>
      </c>
      <c r="N610" s="54" t="s">
        <v>18</v>
      </c>
      <c r="O610" s="54" t="s">
        <v>18</v>
      </c>
      <c r="P610" s="54" t="s">
        <v>24</v>
      </c>
      <c r="Q610" s="54" t="s">
        <v>22</v>
      </c>
      <c r="R610" s="152" t="s">
        <v>369</v>
      </c>
      <c r="S610" s="58" t="s">
        <v>0</v>
      </c>
      <c r="T610" s="59">
        <v>0</v>
      </c>
      <c r="U610" s="59">
        <f>4000-4000</f>
        <v>0</v>
      </c>
      <c r="V610" s="59">
        <v>0</v>
      </c>
      <c r="W610" s="59">
        <v>0</v>
      </c>
      <c r="X610" s="59">
        <v>5000</v>
      </c>
      <c r="Y610" s="59">
        <v>11902.6</v>
      </c>
      <c r="Z610" s="59">
        <v>18409.099999999999</v>
      </c>
      <c r="AA610" s="59">
        <f>T610+U610+V610+W610+X610+Y610</f>
        <v>16902.599999999999</v>
      </c>
      <c r="AB610" s="58">
        <v>2024</v>
      </c>
      <c r="AC610" s="33"/>
      <c r="AD610" s="102"/>
    </row>
    <row r="611" spans="1:31" ht="31.5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40" t="s">
        <v>276</v>
      </c>
      <c r="S611" s="41" t="s">
        <v>38</v>
      </c>
      <c r="T611" s="44">
        <v>0</v>
      </c>
      <c r="U611" s="44">
        <v>0</v>
      </c>
      <c r="V611" s="44">
        <v>0</v>
      </c>
      <c r="W611" s="44">
        <v>0</v>
      </c>
      <c r="X611" s="44">
        <v>1</v>
      </c>
      <c r="Y611" s="44">
        <v>0</v>
      </c>
      <c r="Z611" s="44">
        <v>0</v>
      </c>
      <c r="AA611" s="49">
        <v>0</v>
      </c>
      <c r="AB611" s="41">
        <v>2022</v>
      </c>
      <c r="AC611" s="33"/>
      <c r="AD611" s="104"/>
      <c r="AE611" s="104"/>
    </row>
    <row r="612" spans="1:31" ht="31.5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40" t="s">
        <v>370</v>
      </c>
      <c r="S612" s="41" t="s">
        <v>38</v>
      </c>
      <c r="T612" s="44">
        <v>0</v>
      </c>
      <c r="U612" s="44">
        <v>0</v>
      </c>
      <c r="V612" s="44">
        <v>0</v>
      </c>
      <c r="W612" s="44">
        <v>0</v>
      </c>
      <c r="X612" s="44">
        <v>0</v>
      </c>
      <c r="Y612" s="44">
        <v>6000</v>
      </c>
      <c r="Z612" s="44">
        <v>8000</v>
      </c>
      <c r="AA612" s="49">
        <f>Y612+Z612</f>
        <v>14000</v>
      </c>
      <c r="AB612" s="41">
        <v>2024</v>
      </c>
      <c r="AC612" s="33"/>
      <c r="AD612" s="104"/>
      <c r="AE612" s="104"/>
    </row>
    <row r="613" spans="1:31" ht="31.5" x14ac:dyDescent="0.25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40" t="s">
        <v>371</v>
      </c>
      <c r="S613" s="95" t="s">
        <v>9</v>
      </c>
      <c r="T613" s="44">
        <v>0</v>
      </c>
      <c r="U613" s="44">
        <v>0</v>
      </c>
      <c r="V613" s="44">
        <v>0</v>
      </c>
      <c r="W613" s="44">
        <v>0</v>
      </c>
      <c r="X613" s="44">
        <v>0</v>
      </c>
      <c r="Y613" s="44">
        <v>50</v>
      </c>
      <c r="Z613" s="44">
        <v>50</v>
      </c>
      <c r="AA613" s="49">
        <v>100</v>
      </c>
      <c r="AB613" s="41">
        <v>2024</v>
      </c>
      <c r="AC613" s="33"/>
    </row>
    <row r="614" spans="1:31" ht="26.45" customHeight="1" x14ac:dyDescent="0.25">
      <c r="AB614" s="155" t="s">
        <v>58</v>
      </c>
    </row>
    <row r="615" spans="1:31" ht="52.9" customHeight="1" x14ac:dyDescent="0.25"/>
    <row r="616" spans="1:31" ht="40.15" customHeight="1" x14ac:dyDescent="0.25">
      <c r="A616" s="180" t="s">
        <v>385</v>
      </c>
      <c r="B616" s="180"/>
      <c r="C616" s="180"/>
      <c r="D616" s="180"/>
      <c r="E616" s="180"/>
      <c r="F616" s="180"/>
      <c r="G616" s="180"/>
      <c r="H616" s="180"/>
      <c r="I616" s="180"/>
      <c r="J616" s="180"/>
      <c r="K616" s="180"/>
      <c r="L616" s="180"/>
      <c r="M616" s="180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  <c r="AA616" s="180"/>
      <c r="AB616" s="180"/>
    </row>
  </sheetData>
  <mergeCells count="96">
    <mergeCell ref="S142:S147"/>
    <mergeCell ref="S70:S75"/>
    <mergeCell ref="S77:S80"/>
    <mergeCell ref="S39:S43"/>
    <mergeCell ref="S521:S523"/>
    <mergeCell ref="S228:S231"/>
    <mergeCell ref="S220:S224"/>
    <mergeCell ref="S204:S208"/>
    <mergeCell ref="S212:S216"/>
    <mergeCell ref="S196:S200"/>
    <mergeCell ref="S424:S432"/>
    <mergeCell ref="S239:S247"/>
    <mergeCell ref="S504:S506"/>
    <mergeCell ref="R558:R559"/>
    <mergeCell ref="R471:R475"/>
    <mergeCell ref="R477:R481"/>
    <mergeCell ref="R483:R487"/>
    <mergeCell ref="R489:R493"/>
    <mergeCell ref="R495:R499"/>
    <mergeCell ref="R521:R523"/>
    <mergeCell ref="R504:R506"/>
    <mergeCell ref="R561:R562"/>
    <mergeCell ref="A616:AB616"/>
    <mergeCell ref="R564:R565"/>
    <mergeCell ref="R567:R568"/>
    <mergeCell ref="R570:R571"/>
    <mergeCell ref="R575:R577"/>
    <mergeCell ref="R598:R600"/>
    <mergeCell ref="S598:S600"/>
    <mergeCell ref="R606:R608"/>
    <mergeCell ref="S606:S608"/>
    <mergeCell ref="R377:R382"/>
    <mergeCell ref="R466:R469"/>
    <mergeCell ref="R384:R389"/>
    <mergeCell ref="R391:R396"/>
    <mergeCell ref="R398:R403"/>
    <mergeCell ref="R405:R409"/>
    <mergeCell ref="R411:R415"/>
    <mergeCell ref="R417:R422"/>
    <mergeCell ref="R436:R440"/>
    <mergeCell ref="R442:R446"/>
    <mergeCell ref="R448:R452"/>
    <mergeCell ref="R454:R458"/>
    <mergeCell ref="R460:R464"/>
    <mergeCell ref="R424:R432"/>
    <mergeCell ref="R343:R347"/>
    <mergeCell ref="R349:R354"/>
    <mergeCell ref="R356:R361"/>
    <mergeCell ref="R363:R368"/>
    <mergeCell ref="R370:R375"/>
    <mergeCell ref="R212:R216"/>
    <mergeCell ref="R220:R224"/>
    <mergeCell ref="R228:R231"/>
    <mergeCell ref="R251:R254"/>
    <mergeCell ref="R239:R247"/>
    <mergeCell ref="R39:R43"/>
    <mergeCell ref="R49:R52"/>
    <mergeCell ref="R189:R191"/>
    <mergeCell ref="R196:R200"/>
    <mergeCell ref="R204:R208"/>
    <mergeCell ref="R70:R75"/>
    <mergeCell ref="R77:R80"/>
    <mergeCell ref="R142:R147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A1:AB1"/>
    <mergeCell ref="A4:AB4"/>
    <mergeCell ref="A5:AB5"/>
    <mergeCell ref="A6:AB6"/>
    <mergeCell ref="A3:AB3"/>
    <mergeCell ref="R286:R295"/>
    <mergeCell ref="S286:S295"/>
    <mergeCell ref="R329:R340"/>
    <mergeCell ref="S329:S340"/>
    <mergeCell ref="R256:R259"/>
    <mergeCell ref="R261:R265"/>
    <mergeCell ref="R267:R271"/>
    <mergeCell ref="R273:R277"/>
    <mergeCell ref="R280:R284"/>
    <mergeCell ref="R298:R302"/>
    <mergeCell ref="R304:R307"/>
    <mergeCell ref="R309:R312"/>
    <mergeCell ref="R314:R317"/>
    <mergeCell ref="R319:R322"/>
    <mergeCell ref="R324:R327"/>
  </mergeCells>
  <pageMargins left="0.35433070866141736" right="0.27559055118110237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2022-06-15T12:22:02Z</dcterms:modified>
</cp:coreProperties>
</file>